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900" yWindow="680" windowWidth="23600" windowHeight="14020"/>
  </bookViews>
  <sheets>
    <sheet name="Y13 SWH 2013 3-9-13" sheetId="1" r:id="rId1"/>
  </sheets>
  <definedNames>
    <definedName name="_xlnm._FilterDatabase" localSheetId="0" hidden="1">'Y13 SWH 2013 3-9-13'!$C$4:$R$25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6" i="1" l="1"/>
  <c r="E166" i="1"/>
  <c r="E164" i="1"/>
  <c r="E162" i="1"/>
  <c r="E156" i="1"/>
  <c r="E155" i="1"/>
  <c r="E154" i="1"/>
  <c r="E153" i="1"/>
  <c r="D152" i="1"/>
  <c r="E152" i="1"/>
  <c r="E151" i="1"/>
  <c r="D142" i="1"/>
  <c r="D141" i="1"/>
  <c r="C140" i="1"/>
  <c r="D140" i="1"/>
  <c r="C139" i="1"/>
  <c r="D139" i="1"/>
  <c r="C138" i="1"/>
  <c r="D138" i="1"/>
  <c r="C137" i="1"/>
  <c r="D137" i="1"/>
  <c r="C136" i="1"/>
  <c r="D136" i="1"/>
  <c r="D135" i="1"/>
  <c r="D134" i="1"/>
  <c r="D133" i="1"/>
  <c r="C132" i="1"/>
  <c r="D132" i="1"/>
  <c r="C131" i="1"/>
  <c r="D131" i="1"/>
  <c r="C130" i="1"/>
  <c r="D130" i="1"/>
  <c r="D129" i="1"/>
  <c r="D128" i="1"/>
  <c r="D127" i="1"/>
  <c r="D126" i="1"/>
  <c r="D125" i="1"/>
  <c r="D144" i="1"/>
  <c r="J58" i="1"/>
  <c r="N53" i="1"/>
  <c r="M53" i="1"/>
  <c r="L53" i="1"/>
  <c r="K53" i="1"/>
  <c r="J53" i="1"/>
  <c r="I53" i="1"/>
  <c r="H53" i="1"/>
  <c r="G53" i="1"/>
  <c r="F53" i="1"/>
  <c r="E53" i="1"/>
  <c r="D53" i="1"/>
  <c r="Q53" i="1"/>
  <c r="T51" i="1"/>
  <c r="S51" i="1"/>
  <c r="R51" i="1"/>
  <c r="Q51" i="1"/>
  <c r="T50" i="1"/>
  <c r="S50" i="1"/>
  <c r="R50" i="1"/>
  <c r="Q50" i="1"/>
  <c r="O28" i="1"/>
  <c r="N40" i="1"/>
  <c r="K40" i="1"/>
  <c r="J40" i="1"/>
  <c r="G40" i="1"/>
  <c r="F40" i="1"/>
  <c r="T34" i="1"/>
  <c r="S34" i="1"/>
  <c r="R34" i="1"/>
  <c r="Q34" i="1"/>
  <c r="N32" i="1"/>
  <c r="M31" i="1"/>
  <c r="M32" i="1"/>
  <c r="L32" i="1"/>
  <c r="K32" i="1"/>
  <c r="J32" i="1"/>
  <c r="I32" i="1"/>
  <c r="H32" i="1"/>
  <c r="F32" i="1"/>
  <c r="G32" i="1"/>
  <c r="R32" i="1"/>
  <c r="E32" i="1"/>
  <c r="D32" i="1"/>
  <c r="Q32" i="1"/>
  <c r="S31" i="1"/>
  <c r="R31" i="1"/>
  <c r="Q31" i="1"/>
  <c r="T31" i="1"/>
  <c r="N30" i="1"/>
  <c r="M30" i="1"/>
  <c r="L30" i="1"/>
  <c r="K30" i="1"/>
  <c r="J30" i="1"/>
  <c r="I30" i="1"/>
  <c r="H30" i="1"/>
  <c r="G30" i="1"/>
  <c r="F30" i="1"/>
  <c r="R30" i="1"/>
  <c r="E30" i="1"/>
  <c r="D30" i="1"/>
  <c r="S30" i="1"/>
  <c r="N27" i="1"/>
  <c r="N26" i="1"/>
  <c r="N29" i="1"/>
  <c r="N33" i="1"/>
  <c r="N35" i="1"/>
  <c r="N37" i="1"/>
  <c r="J27" i="1"/>
  <c r="J26" i="1"/>
  <c r="J29" i="1"/>
  <c r="J33" i="1"/>
  <c r="J35" i="1"/>
  <c r="J37" i="1"/>
  <c r="F27" i="1"/>
  <c r="F26" i="1"/>
  <c r="F29" i="1"/>
  <c r="M40" i="1"/>
  <c r="N28" i="1"/>
  <c r="M28" i="1"/>
  <c r="L28" i="1"/>
  <c r="K28" i="1"/>
  <c r="J28" i="1"/>
  <c r="I28" i="1"/>
  <c r="H28" i="1"/>
  <c r="G28" i="1"/>
  <c r="F28" i="1"/>
  <c r="E28" i="1"/>
  <c r="D28" i="1"/>
  <c r="R28" i="1"/>
  <c r="Q28" i="1"/>
  <c r="O27" i="1"/>
  <c r="M27" i="1"/>
  <c r="M26" i="1"/>
  <c r="M29" i="1"/>
  <c r="M33" i="1"/>
  <c r="M35" i="1"/>
  <c r="M37" i="1"/>
  <c r="L27" i="1"/>
  <c r="L26" i="1"/>
  <c r="L29" i="1"/>
  <c r="L33" i="1"/>
  <c r="L35" i="1"/>
  <c r="L37" i="1"/>
  <c r="K27" i="1"/>
  <c r="I27" i="1"/>
  <c r="I26" i="1"/>
  <c r="I29" i="1"/>
  <c r="I33" i="1"/>
  <c r="I35" i="1"/>
  <c r="I37" i="1"/>
  <c r="H27" i="1"/>
  <c r="H26" i="1"/>
  <c r="H29" i="1"/>
  <c r="H33" i="1"/>
  <c r="H35" i="1"/>
  <c r="H37" i="1"/>
  <c r="G27" i="1"/>
  <c r="E27" i="1"/>
  <c r="E26" i="1"/>
  <c r="E29" i="1"/>
  <c r="E33" i="1"/>
  <c r="E35" i="1"/>
  <c r="E37" i="1"/>
  <c r="D27" i="1"/>
  <c r="Q27" i="1"/>
  <c r="O26" i="1"/>
  <c r="O29" i="1"/>
  <c r="K26" i="1"/>
  <c r="K29" i="1"/>
  <c r="K33" i="1"/>
  <c r="K35" i="1"/>
  <c r="K37" i="1"/>
  <c r="G26" i="1"/>
  <c r="G29" i="1"/>
  <c r="G33" i="1"/>
  <c r="G35" i="1"/>
  <c r="G37" i="1"/>
  <c r="D26" i="1"/>
  <c r="S26" i="1"/>
  <c r="H39" i="1"/>
  <c r="H40" i="1"/>
  <c r="H42" i="1"/>
  <c r="H52" i="1"/>
  <c r="L39" i="1"/>
  <c r="L52" i="1"/>
  <c r="R29" i="1"/>
  <c r="E52" i="1"/>
  <c r="E39" i="1"/>
  <c r="I52" i="1"/>
  <c r="I39" i="1"/>
  <c r="I40" i="1"/>
  <c r="I42" i="1"/>
  <c r="M52" i="1"/>
  <c r="M39" i="1"/>
  <c r="M42" i="1"/>
  <c r="J52" i="1"/>
  <c r="J39" i="1"/>
  <c r="J42" i="1"/>
  <c r="N39" i="1"/>
  <c r="N42" i="1"/>
  <c r="N52" i="1"/>
  <c r="G39" i="1"/>
  <c r="G42" i="1"/>
  <c r="G52" i="1"/>
  <c r="K52" i="1"/>
  <c r="K39" i="1"/>
  <c r="K42" i="1"/>
  <c r="Q30" i="1"/>
  <c r="R27" i="1"/>
  <c r="S28" i="1"/>
  <c r="S32" i="1"/>
  <c r="F33" i="1"/>
  <c r="R26" i="1"/>
  <c r="S27" i="1"/>
  <c r="D29" i="1"/>
  <c r="T32" i="1"/>
  <c r="D40" i="1"/>
  <c r="L40" i="1"/>
  <c r="R40" i="1"/>
  <c r="T53" i="1"/>
  <c r="R53" i="1"/>
  <c r="Q26" i="1"/>
  <c r="S53" i="1"/>
  <c r="E40" i="1"/>
  <c r="F35" i="1"/>
  <c r="R33" i="1"/>
  <c r="D33" i="1"/>
  <c r="Q29" i="1"/>
  <c r="S29" i="1"/>
  <c r="E42" i="1"/>
  <c r="L42" i="1"/>
  <c r="S40" i="1"/>
  <c r="Q40" i="1"/>
  <c r="R35" i="1"/>
  <c r="F37" i="1"/>
  <c r="Q33" i="1"/>
  <c r="S33" i="1"/>
  <c r="D35" i="1"/>
  <c r="T35" i="1"/>
  <c r="Q35" i="1"/>
  <c r="S35" i="1"/>
  <c r="D37" i="1"/>
  <c r="F39" i="1"/>
  <c r="R37" i="1"/>
  <c r="F52" i="1"/>
  <c r="R39" i="1"/>
  <c r="F42" i="1"/>
  <c r="D39" i="1"/>
  <c r="Q37" i="1"/>
  <c r="D52" i="1"/>
  <c r="T37" i="1"/>
  <c r="S37" i="1"/>
  <c r="S52" i="1"/>
  <c r="R52" i="1"/>
  <c r="Q52" i="1"/>
  <c r="S39" i="1"/>
  <c r="Q39" i="1"/>
  <c r="T39" i="1"/>
  <c r="D42" i="1"/>
  <c r="Q42" i="1"/>
  <c r="S42" i="1"/>
  <c r="R42" i="1"/>
</calcChain>
</file>

<file path=xl/sharedStrings.xml><?xml version="1.0" encoding="utf-8"?>
<sst xmlns="http://schemas.openxmlformats.org/spreadsheetml/2006/main" count="100" uniqueCount="97">
  <si>
    <t>Y13 SWH Model Testing 2012</t>
  </si>
  <si>
    <t>RACE 3-9-13</t>
  </si>
  <si>
    <r>
      <t xml:space="preserve">Time
</t>
    </r>
    <r>
      <rPr>
        <sz val="10"/>
        <rFont val="Arial"/>
      </rPr>
      <t xml:space="preserve"> (hh:mm)</t>
    </r>
  </si>
  <si>
    <t>Mr D Trad 2011</t>
  </si>
  <si>
    <t>Mr D Lamellar  2011</t>
  </si>
  <si>
    <t>Brandon 2/3 Glass Corrugated</t>
  </si>
  <si>
    <t>Hamiora 4:1 Glass Traditional</t>
  </si>
  <si>
    <t>Cameron Corrugated</t>
  </si>
  <si>
    <t>Colin 4:1 DIY 4 Riser</t>
  </si>
  <si>
    <t>Caleb 4:1 Traditional</t>
  </si>
  <si>
    <t>Alec Reflector / Hot Body</t>
  </si>
  <si>
    <t>Huey 4:1 Direct Injection DIY 3 Riser</t>
  </si>
  <si>
    <t>Sam 4:1 Closed Loop water + glycol</t>
  </si>
  <si>
    <t>Sam 4:1 Closed Loop water</t>
  </si>
  <si>
    <r>
      <t>IRRADIANCE (W/m</t>
    </r>
    <r>
      <rPr>
        <b/>
        <sz val="8"/>
        <rFont val="Calibri"/>
        <family val="2"/>
      </rPr>
      <t>²)</t>
    </r>
  </si>
  <si>
    <t xml:space="preserve"> = time not considered in</t>
  </si>
  <si>
    <t xml:space="preserve">   calculations</t>
  </si>
  <si>
    <r>
      <t>Surface Temperature (</t>
    </r>
    <r>
      <rPr>
        <sz val="10"/>
        <rFont val="Calibri"/>
        <family val="2"/>
      </rPr>
      <t>°C)</t>
    </r>
  </si>
  <si>
    <t>Range</t>
  </si>
  <si>
    <t>min</t>
  </si>
  <si>
    <t>max</t>
  </si>
  <si>
    <t>ave</t>
  </si>
  <si>
    <t>Total</t>
  </si>
  <si>
    <r>
      <t>DATA ANALYSIS</t>
    </r>
    <r>
      <rPr>
        <sz val="9"/>
        <rFont val="Arial"/>
        <family val="2"/>
      </rPr>
      <t xml:space="preserve"> 
(data captured for all systems during this time)</t>
    </r>
  </si>
  <si>
    <t>Min</t>
  </si>
  <si>
    <t>Max</t>
  </si>
  <si>
    <r>
      <t>Average (</t>
    </r>
    <r>
      <rPr>
        <sz val="10"/>
        <rFont val="Calibri"/>
        <family val="2"/>
      </rPr>
      <t>°C)</t>
    </r>
  </si>
  <si>
    <t>Temperature Change (∆°C)</t>
  </si>
  <si>
    <t>Duration Time (h)</t>
  </si>
  <si>
    <t>Volume (g = mL)</t>
  </si>
  <si>
    <t>Volume (L)</t>
  </si>
  <si>
    <t>°C*L</t>
  </si>
  <si>
    <t>Absorber Aperture (m²)</t>
  </si>
  <si>
    <t>Watts</t>
  </si>
  <si>
    <t>Watts (W) (for 0.04m² area)</t>
  </si>
  <si>
    <t>Watts (W) (for 1.0m² area)</t>
  </si>
  <si>
    <t>Irradiance (W/m2)</t>
  </si>
  <si>
    <t>Efficiency (%)</t>
  </si>
  <si>
    <t>glass</t>
  </si>
  <si>
    <t>Rank</t>
  </si>
  <si>
    <t>Rank without Sam</t>
  </si>
  <si>
    <t>W</t>
  </si>
  <si>
    <t>h</t>
  </si>
  <si>
    <t>L</t>
  </si>
  <si>
    <t>°C</t>
  </si>
  <si>
    <t>(actually °C = 0.86)</t>
  </si>
  <si>
    <t>COSTS</t>
  </si>
  <si>
    <t>Cost of SWH System ($)</t>
  </si>
  <si>
    <t>Cost of Collector ($)</t>
  </si>
  <si>
    <t>Collector $/W INDEX</t>
  </si>
  <si>
    <r>
      <t>Equiv 2m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Collector Cost</t>
    </r>
  </si>
  <si>
    <t>Rank $/W</t>
  </si>
  <si>
    <r>
      <t>Rank $ for 2m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Collector</t>
    </r>
  </si>
  <si>
    <t>Commercially Available Collector $/W INDEX</t>
  </si>
  <si>
    <t>Material List - Mr Dobbin - Lamellar</t>
  </si>
  <si>
    <t>Item</t>
  </si>
  <si>
    <t>Length (m) (m²)</t>
  </si>
  <si>
    <t>Total Cost (excl GST)</t>
  </si>
  <si>
    <t>Copper Cylinder</t>
  </si>
  <si>
    <t>Rubber Tubing</t>
  </si>
  <si>
    <t>Valve Tap</t>
  </si>
  <si>
    <t>Copper Tube - Lines to Cylinder (6.4mm)</t>
  </si>
  <si>
    <t>Copper Header Pipe</t>
  </si>
  <si>
    <t>Insulation - Brown Fur (Cylinder)</t>
  </si>
  <si>
    <t>Insulation - Red Felt (Pipes)</t>
  </si>
  <si>
    <t>Insulation - Expanding Foam</t>
  </si>
  <si>
    <t xml:space="preserve">Foil Tape </t>
  </si>
  <si>
    <t>Frame/Stand</t>
  </si>
  <si>
    <t>Copper Tube - Manifolds (6.4mm)</t>
  </si>
  <si>
    <t>Copper Absorber Plate</t>
  </si>
  <si>
    <t>Aluminium Tray/Housing</t>
  </si>
  <si>
    <t>Insulation - Polyester / Glass Wool</t>
  </si>
  <si>
    <t>Insulation - Polystyrene Sheet</t>
  </si>
  <si>
    <t>Glazing</t>
  </si>
  <si>
    <t>Paint - Black</t>
  </si>
  <si>
    <t>Brazing Rods (2% Silver)</t>
  </si>
  <si>
    <t>Material Costs (excl. GST)</t>
  </si>
  <si>
    <t>per item</t>
  </si>
  <si>
    <t>$/m2       $/m</t>
  </si>
  <si>
    <t>Black Paint  (per can)</t>
  </si>
  <si>
    <t>Glazing Rubber</t>
  </si>
  <si>
    <t>Copper Sheet (1m x 2m x 1.2mm)</t>
  </si>
  <si>
    <t>Copper Sheet (1m x 2m x 0.5mm)</t>
  </si>
  <si>
    <t>Aluminium Sheet (1.2m x 2.4m x 0.55mm)</t>
  </si>
  <si>
    <t>Aluminium Foil Tape (9m per roll)</t>
  </si>
  <si>
    <t>Copper Tube (9.5mm) (15m roll)</t>
  </si>
  <si>
    <t>Copper Tube (6.4mm) (15m roll)</t>
  </si>
  <si>
    <t>Copper Tube (4.8mm) (15m roll)</t>
  </si>
  <si>
    <t>Insulation - Green Felt</t>
  </si>
  <si>
    <t>Insulation - Red Felt</t>
  </si>
  <si>
    <t>Insulation - Brown Fur</t>
  </si>
  <si>
    <t>Insulation - Polystyrene 10mm thick</t>
  </si>
  <si>
    <t>Insulation - Expanding Foam Aerosol Can</t>
  </si>
  <si>
    <t>Frame/Stand (Mild Steel 10x3mm) (other items on steel costing sheet)</t>
  </si>
  <si>
    <r>
      <t>Brazing Rods (2% Silv</t>
    </r>
    <r>
      <rPr>
        <sz val="10"/>
        <rFont val="Arial"/>
      </rPr>
      <t>er, 2.8mm Ø, 750mm Length)</t>
    </r>
  </si>
  <si>
    <t>Glazing (Glass 3mm Float 500mm x 1000mm)</t>
  </si>
  <si>
    <t>Glazing (Polypropylene 1mm)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</si>
</sst>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hh:mm\ AM/PM"/>
    <numFmt numFmtId="165" formatCode="ddd\ d\-mmm\-yy"/>
    <numFmt numFmtId="166" formatCode="hh:mm"/>
    <numFmt numFmtId="167" formatCode="0.0"/>
    <numFmt numFmtId="168" formatCode="0.000"/>
    <numFmt numFmtId="169" formatCode="_-&quot;$&quot;* #,##0_-;\-&quot;$&quot;* #,##0_-;_-&quot;$&quot;* &quot;-&quot;??_-;_-@_-"/>
    <numFmt numFmtId="170" formatCode="#,##0_ ;\-#,##0\ "/>
    <numFmt numFmtId="171" formatCode="0.000000"/>
    <numFmt numFmtId="172" formatCode="0.0000"/>
    <numFmt numFmtId="173" formatCode="0.00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2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sz val="10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5">
    <xf numFmtId="0" fontId="0" fillId="0" borderId="0" xfId="0"/>
    <xf numFmtId="0" fontId="0" fillId="0" borderId="1" xfId="0" applyBorder="1"/>
    <xf numFmtId="164" fontId="2" fillId="0" borderId="2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2" fillId="0" borderId="0" xfId="0" applyNumberFormat="1" applyFont="1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5" fillId="0" borderId="4" xfId="0" applyNumberFormat="1" applyFont="1" applyBorder="1" applyAlignment="1">
      <alignment horizontal="right"/>
    </xf>
    <xf numFmtId="166" fontId="0" fillId="0" borderId="12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167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7" fontId="0" fillId="0" borderId="15" xfId="0" applyNumberForma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167" fontId="0" fillId="3" borderId="15" xfId="0" applyNumberFormat="1" applyFill="1" applyBorder="1" applyAlignment="1">
      <alignment horizontal="center" vertical="center"/>
    </xf>
    <xf numFmtId="167" fontId="0" fillId="3" borderId="16" xfId="0" applyNumberFormat="1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quotePrefix="1" applyBorder="1"/>
    <xf numFmtId="166" fontId="0" fillId="0" borderId="17" xfId="0" applyNumberFormat="1" applyBorder="1" applyAlignment="1">
      <alignment horizontal="center"/>
    </xf>
    <xf numFmtId="167" fontId="0" fillId="3" borderId="18" xfId="0" applyNumberFormat="1" applyFill="1" applyBorder="1" applyAlignment="1">
      <alignment horizontal="center" vertical="center"/>
    </xf>
    <xf numFmtId="167" fontId="0" fillId="3" borderId="19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0" fillId="0" borderId="4" xfId="0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167" fontId="0" fillId="0" borderId="20" xfId="0" applyNumberFormat="1" applyFill="1" applyBorder="1"/>
    <xf numFmtId="167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168" fontId="0" fillId="0" borderId="0" xfId="0" applyNumberFormat="1" applyFill="1" applyBorder="1"/>
    <xf numFmtId="2" fontId="0" fillId="4" borderId="21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2" fontId="4" fillId="5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23" xfId="0" applyNumberFormat="1" applyBorder="1" applyAlignment="1">
      <alignment horizontal="right"/>
    </xf>
    <xf numFmtId="167" fontId="0" fillId="0" borderId="24" xfId="0" applyNumberFormat="1" applyFill="1" applyBorder="1"/>
    <xf numFmtId="2" fontId="0" fillId="4" borderId="9" xfId="0" applyNumberFormat="1" applyFill="1" applyBorder="1"/>
    <xf numFmtId="2" fontId="0" fillId="5" borderId="1" xfId="0" applyNumberFormat="1" applyFill="1" applyBorder="1"/>
    <xf numFmtId="169" fontId="0" fillId="2" borderId="9" xfId="0" applyNumberFormat="1" applyFill="1" applyBorder="1"/>
    <xf numFmtId="0" fontId="5" fillId="0" borderId="0" xfId="0" applyFont="1" applyBorder="1"/>
    <xf numFmtId="164" fontId="0" fillId="0" borderId="25" xfId="0" applyNumberFormat="1" applyBorder="1" applyAlignment="1">
      <alignment horizontal="right"/>
    </xf>
    <xf numFmtId="2" fontId="0" fillId="4" borderId="12" xfId="0" applyNumberFormat="1" applyFill="1" applyBorder="1"/>
    <xf numFmtId="2" fontId="0" fillId="5" borderId="4" xfId="0" applyNumberFormat="1" applyFill="1" applyBorder="1"/>
    <xf numFmtId="169" fontId="0" fillId="2" borderId="12" xfId="0" applyNumberFormat="1" applyFill="1" applyBorder="1"/>
    <xf numFmtId="164" fontId="4" fillId="0" borderId="25" xfId="0" applyNumberFormat="1" applyFont="1" applyBorder="1" applyAlignment="1">
      <alignment horizontal="right"/>
    </xf>
    <xf numFmtId="168" fontId="0" fillId="0" borderId="20" xfId="0" applyNumberFormat="1" applyFill="1" applyBorder="1"/>
    <xf numFmtId="0" fontId="0" fillId="0" borderId="25" xfId="0" applyBorder="1" applyAlignment="1">
      <alignment horizontal="right"/>
    </xf>
    <xf numFmtId="0" fontId="0" fillId="0" borderId="20" xfId="0" applyBorder="1"/>
    <xf numFmtId="0" fontId="0" fillId="0" borderId="20" xfId="0" applyFill="1" applyBorder="1"/>
    <xf numFmtId="0" fontId="0" fillId="0" borderId="26" xfId="0" applyFill="1" applyBorder="1"/>
    <xf numFmtId="170" fontId="0" fillId="0" borderId="12" xfId="0" applyNumberFormat="1" applyFill="1" applyBorder="1"/>
    <xf numFmtId="0" fontId="0" fillId="0" borderId="27" xfId="0" applyFill="1" applyBorder="1"/>
    <xf numFmtId="167" fontId="0" fillId="0" borderId="27" xfId="0" applyNumberFormat="1" applyFill="1" applyBorder="1"/>
    <xf numFmtId="171" fontId="0" fillId="0" borderId="20" xfId="0" applyNumberFormat="1" applyFill="1" applyBorder="1"/>
    <xf numFmtId="168" fontId="0" fillId="0" borderId="27" xfId="0" applyNumberFormat="1" applyFill="1" applyBorder="1"/>
    <xf numFmtId="164" fontId="4" fillId="2" borderId="25" xfId="0" applyNumberFormat="1" applyFont="1" applyFill="1" applyBorder="1" applyAlignment="1">
      <alignment horizontal="right"/>
    </xf>
    <xf numFmtId="167" fontId="4" fillId="2" borderId="20" xfId="0" applyNumberFormat="1" applyFont="1" applyFill="1" applyBorder="1"/>
    <xf numFmtId="167" fontId="5" fillId="0" borderId="27" xfId="0" applyNumberFormat="1" applyFont="1" applyFill="1" applyBorder="1"/>
    <xf numFmtId="164" fontId="5" fillId="0" borderId="28" xfId="0" applyNumberFormat="1" applyFont="1" applyFill="1" applyBorder="1" applyAlignment="1">
      <alignment horizontal="right"/>
    </xf>
    <xf numFmtId="167" fontId="5" fillId="0" borderId="29" xfId="0" applyNumberFormat="1" applyFont="1" applyFill="1" applyBorder="1"/>
    <xf numFmtId="2" fontId="0" fillId="0" borderId="12" xfId="0" applyNumberFormat="1" applyFill="1" applyBorder="1"/>
    <xf numFmtId="2" fontId="0" fillId="0" borderId="4" xfId="0" applyNumberFormat="1" applyFill="1" applyBorder="1"/>
    <xf numFmtId="0" fontId="5" fillId="0" borderId="0" xfId="0" applyFont="1" applyFill="1" applyBorder="1"/>
    <xf numFmtId="164" fontId="5" fillId="0" borderId="21" xfId="0" applyNumberFormat="1" applyFont="1" applyBorder="1" applyAlignment="1">
      <alignment horizontal="right"/>
    </xf>
    <xf numFmtId="167" fontId="5" fillId="0" borderId="10" xfId="0" applyNumberFormat="1" applyFont="1" applyBorder="1"/>
    <xf numFmtId="167" fontId="5" fillId="0" borderId="11" xfId="0" applyNumberFormat="1" applyFont="1" applyBorder="1"/>
    <xf numFmtId="164" fontId="4" fillId="0" borderId="30" xfId="0" applyNumberFormat="1" applyFont="1" applyFill="1" applyBorder="1" applyAlignment="1">
      <alignment horizontal="right"/>
    </xf>
    <xf numFmtId="167" fontId="0" fillId="0" borderId="15" xfId="0" applyNumberFormat="1" applyFill="1" applyBorder="1"/>
    <xf numFmtId="167" fontId="0" fillId="0" borderId="20" xfId="0" applyNumberFormat="1" applyBorder="1"/>
    <xf numFmtId="170" fontId="0" fillId="2" borderId="12" xfId="0" applyNumberFormat="1" applyFill="1" applyBorder="1"/>
    <xf numFmtId="164" fontId="4" fillId="0" borderId="28" xfId="0" applyNumberFormat="1" applyFont="1" applyFill="1" applyBorder="1" applyAlignment="1">
      <alignment horizontal="right"/>
    </xf>
    <xf numFmtId="167" fontId="0" fillId="0" borderId="29" xfId="0" applyNumberFormat="1" applyFill="1" applyBorder="1"/>
    <xf numFmtId="2" fontId="0" fillId="4" borderId="17" xfId="0" applyNumberFormat="1" applyFill="1" applyBorder="1"/>
    <xf numFmtId="2" fontId="0" fillId="5" borderId="31" xfId="0" applyNumberFormat="1" applyFill="1" applyBorder="1"/>
    <xf numFmtId="170" fontId="0" fillId="2" borderId="17" xfId="0" applyNumberFormat="1" applyFill="1" applyBorder="1"/>
    <xf numFmtId="0" fontId="5" fillId="0" borderId="4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/>
    </xf>
    <xf numFmtId="167" fontId="0" fillId="0" borderId="0" xfId="0" applyNumberFormat="1" applyBorder="1"/>
    <xf numFmtId="167" fontId="4" fillId="0" borderId="0" xfId="0" applyNumberFormat="1" applyFont="1" applyBorder="1"/>
    <xf numFmtId="2" fontId="0" fillId="0" borderId="0" xfId="0" applyNumberFormat="1" applyFill="1" applyBorder="1"/>
    <xf numFmtId="170" fontId="0" fillId="0" borderId="5" xfId="0" applyNumberFormat="1" applyFill="1" applyBorder="1"/>
    <xf numFmtId="164" fontId="5" fillId="6" borderId="23" xfId="0" applyNumberFormat="1" applyFont="1" applyFill="1" applyBorder="1" applyAlignment="1">
      <alignment horizontal="right"/>
    </xf>
    <xf numFmtId="167" fontId="0" fillId="0" borderId="24" xfId="0" applyNumberFormat="1" applyBorder="1"/>
    <xf numFmtId="1" fontId="0" fillId="0" borderId="24" xfId="0" applyNumberFormat="1" applyBorder="1"/>
    <xf numFmtId="1" fontId="0" fillId="0" borderId="32" xfId="0" applyNumberFormat="1" applyBorder="1"/>
    <xf numFmtId="164" fontId="0" fillId="0" borderId="33" xfId="0" applyNumberFormat="1" applyBorder="1" applyAlignment="1">
      <alignment horizontal="right"/>
    </xf>
    <xf numFmtId="167" fontId="0" fillId="0" borderId="34" xfId="0" applyNumberFormat="1" applyBorder="1"/>
    <xf numFmtId="1" fontId="0" fillId="0" borderId="34" xfId="0" applyNumberFormat="1" applyBorder="1"/>
    <xf numFmtId="167" fontId="0" fillId="0" borderId="35" xfId="0" applyNumberFormat="1" applyBorder="1"/>
    <xf numFmtId="164" fontId="4" fillId="0" borderId="0" xfId="0" applyNumberFormat="1" applyFont="1" applyBorder="1" applyAlignment="1">
      <alignment horizontal="right"/>
    </xf>
    <xf numFmtId="168" fontId="0" fillId="0" borderId="0" xfId="0" applyNumberFormat="1" applyBorder="1"/>
    <xf numFmtId="168" fontId="0" fillId="0" borderId="5" xfId="0" applyNumberFormat="1" applyFill="1" applyBorder="1"/>
    <xf numFmtId="0" fontId="5" fillId="0" borderId="4" xfId="0" applyFont="1" applyBorder="1" applyAlignment="1">
      <alignment horizontal="right"/>
    </xf>
    <xf numFmtId="0" fontId="5" fillId="7" borderId="20" xfId="0" applyFont="1" applyFill="1" applyBorder="1" applyAlignment="1">
      <alignment horizontal="center"/>
    </xf>
    <xf numFmtId="168" fontId="5" fillId="7" borderId="20" xfId="0" applyNumberFormat="1" applyFont="1" applyFill="1" applyBorder="1" applyAlignment="1">
      <alignment horizontal="center"/>
    </xf>
    <xf numFmtId="167" fontId="5" fillId="0" borderId="20" xfId="0" applyNumberFormat="1" applyFont="1" applyBorder="1" applyAlignment="1">
      <alignment horizontal="center"/>
    </xf>
    <xf numFmtId="168" fontId="4" fillId="0" borderId="0" xfId="0" applyNumberFormat="1" applyFont="1" applyBorder="1"/>
    <xf numFmtId="172" fontId="0" fillId="0" borderId="0" xfId="0" applyNumberFormat="1" applyBorder="1"/>
    <xf numFmtId="0" fontId="11" fillId="0" borderId="4" xfId="0" applyFont="1" applyBorder="1" applyAlignment="1">
      <alignment horizontal="right"/>
    </xf>
    <xf numFmtId="2" fontId="0" fillId="0" borderId="24" xfId="0" applyNumberFormat="1" applyBorder="1"/>
    <xf numFmtId="2" fontId="0" fillId="0" borderId="24" xfId="0" applyNumberFormat="1" applyFill="1" applyBorder="1"/>
    <xf numFmtId="0" fontId="0" fillId="0" borderId="24" xfId="0" applyFill="1" applyBorder="1"/>
    <xf numFmtId="0" fontId="12" fillId="0" borderId="24" xfId="0" applyFont="1" applyFill="1" applyBorder="1"/>
    <xf numFmtId="2" fontId="0" fillId="2" borderId="24" xfId="0" applyNumberFormat="1" applyFill="1" applyBorder="1"/>
    <xf numFmtId="2" fontId="0" fillId="5" borderId="9" xfId="0" applyNumberFormat="1" applyFill="1" applyBorder="1"/>
    <xf numFmtId="169" fontId="0" fillId="0" borderId="9" xfId="0" applyNumberFormat="1" applyFill="1" applyBorder="1"/>
    <xf numFmtId="0" fontId="0" fillId="0" borderId="0" xfId="0" quotePrefix="1"/>
    <xf numFmtId="2" fontId="0" fillId="0" borderId="20" xfId="0" applyNumberFormat="1" applyFill="1" applyBorder="1"/>
    <xf numFmtId="0" fontId="12" fillId="0" borderId="20" xfId="0" applyFont="1" applyFill="1" applyBorder="1"/>
    <xf numFmtId="2" fontId="0" fillId="2" borderId="20" xfId="0" applyNumberFormat="1" applyFill="1" applyBorder="1"/>
    <xf numFmtId="2" fontId="0" fillId="5" borderId="12" xfId="0" applyNumberFormat="1" applyFill="1" applyBorder="1"/>
    <xf numFmtId="169" fontId="0" fillId="0" borderId="12" xfId="0" applyNumberFormat="1" applyFill="1" applyBorder="1"/>
    <xf numFmtId="168" fontId="0" fillId="0" borderId="0" xfId="0" applyNumberFormat="1"/>
    <xf numFmtId="164" fontId="13" fillId="0" borderId="28" xfId="0" applyNumberFormat="1" applyFont="1" applyBorder="1" applyAlignment="1">
      <alignment horizontal="right"/>
    </xf>
    <xf numFmtId="2" fontId="13" fillId="0" borderId="29" xfId="0" applyNumberFormat="1" applyFont="1" applyFill="1" applyBorder="1"/>
    <xf numFmtId="2" fontId="0" fillId="2" borderId="29" xfId="0" applyNumberFormat="1" applyFill="1" applyBorder="1"/>
    <xf numFmtId="2" fontId="13" fillId="4" borderId="12" xfId="0" applyNumberFormat="1" applyFont="1" applyFill="1" applyBorder="1"/>
    <xf numFmtId="2" fontId="13" fillId="5" borderId="12" xfId="0" applyNumberFormat="1" applyFont="1" applyFill="1" applyBorder="1"/>
    <xf numFmtId="164" fontId="4" fillId="0" borderId="6" xfId="0" applyNumberFormat="1" applyFont="1" applyBorder="1" applyAlignment="1">
      <alignment horizontal="right"/>
    </xf>
    <xf numFmtId="1" fontId="0" fillId="0" borderId="10" xfId="0" applyNumberFormat="1" applyFill="1" applyBorder="1"/>
    <xf numFmtId="1" fontId="12" fillId="0" borderId="10" xfId="0" applyNumberFormat="1" applyFont="1" applyFill="1" applyBorder="1"/>
    <xf numFmtId="1" fontId="0" fillId="2" borderId="11" xfId="0" applyNumberFormat="1" applyFill="1" applyBorder="1"/>
    <xf numFmtId="2" fontId="0" fillId="5" borderId="17" xfId="0" applyNumberFormat="1" applyFill="1" applyBorder="1"/>
    <xf numFmtId="169" fontId="0" fillId="0" borderId="17" xfId="0" applyNumberFormat="1" applyFill="1" applyBorder="1"/>
    <xf numFmtId="0" fontId="0" fillId="0" borderId="0" xfId="0" applyBorder="1" applyAlignment="1">
      <alignment horizontal="right"/>
    </xf>
    <xf numFmtId="1" fontId="0" fillId="0" borderId="0" xfId="0" applyNumberFormat="1" applyFill="1" applyBorder="1"/>
    <xf numFmtId="1" fontId="0" fillId="0" borderId="2" xfId="0" applyNumberFormat="1" applyFill="1" applyBorder="1"/>
    <xf numFmtId="1" fontId="12" fillId="0" borderId="0" xfId="0" applyNumberFormat="1" applyFont="1" applyFill="1" applyBorder="1"/>
    <xf numFmtId="169" fontId="0" fillId="0" borderId="0" xfId="0" applyNumberFormat="1" applyFill="1" applyBorder="1"/>
    <xf numFmtId="169" fontId="0" fillId="0" borderId="5" xfId="0" applyNumberFormat="1" applyFill="1" applyBorder="1"/>
    <xf numFmtId="164" fontId="5" fillId="6" borderId="33" xfId="0" applyNumberFormat="1" applyFont="1" applyFill="1" applyBorder="1" applyAlignment="1">
      <alignment horizontal="right"/>
    </xf>
    <xf numFmtId="1" fontId="0" fillId="0" borderId="35" xfId="0" applyNumberFormat="1" applyBorder="1"/>
    <xf numFmtId="1" fontId="0" fillId="0" borderId="36" xfId="0" applyNumberFormat="1" applyFill="1" applyBorder="1"/>
    <xf numFmtId="164" fontId="0" fillId="0" borderId="0" xfId="0" applyNumberFormat="1"/>
    <xf numFmtId="0" fontId="13" fillId="0" borderId="0" xfId="0" applyFont="1" applyBorder="1"/>
    <xf numFmtId="164" fontId="16" fillId="0" borderId="4" xfId="0" applyNumberFormat="1" applyFont="1" applyBorder="1" applyAlignment="1">
      <alignment horizontal="right"/>
    </xf>
    <xf numFmtId="0" fontId="16" fillId="0" borderId="17" xfId="0" applyFont="1" applyBorder="1"/>
    <xf numFmtId="164" fontId="16" fillId="0" borderId="0" xfId="0" applyNumberFormat="1" applyFont="1" applyBorder="1" applyAlignment="1">
      <alignment horizontal="right"/>
    </xf>
    <xf numFmtId="0" fontId="16" fillId="0" borderId="2" xfId="0" applyFont="1" applyBorder="1"/>
    <xf numFmtId="0" fontId="16" fillId="0" borderId="0" xfId="0" applyFont="1" applyBorder="1"/>
    <xf numFmtId="0" fontId="0" fillId="0" borderId="31" xfId="0" applyBorder="1" applyAlignment="1">
      <alignment horizontal="right"/>
    </xf>
    <xf numFmtId="164" fontId="0" fillId="0" borderId="36" xfId="0" applyNumberFormat="1" applyBorder="1"/>
    <xf numFmtId="0" fontId="0" fillId="0" borderId="36" xfId="0" applyBorder="1"/>
    <xf numFmtId="0" fontId="0" fillId="0" borderId="37" xfId="0" applyBorder="1"/>
    <xf numFmtId="0" fontId="0" fillId="0" borderId="0" xfId="0" applyAlignment="1">
      <alignment horizontal="right"/>
    </xf>
    <xf numFmtId="14" fontId="17" fillId="0" borderId="0" xfId="0" applyNumberFormat="1" applyFont="1"/>
    <xf numFmtId="0" fontId="17" fillId="0" borderId="0" xfId="0" applyFont="1"/>
    <xf numFmtId="14" fontId="0" fillId="0" borderId="0" xfId="0" applyNumberFormat="1"/>
    <xf numFmtId="16" fontId="0" fillId="0" borderId="0" xfId="0" applyNumberFormat="1"/>
    <xf numFmtId="164" fontId="0" fillId="0" borderId="0" xfId="0" applyNumberFormat="1" applyFill="1"/>
    <xf numFmtId="2" fontId="5" fillId="0" borderId="0" xfId="0" applyNumberFormat="1" applyFont="1" applyFill="1" applyBorder="1" applyAlignment="1">
      <alignment horizontal="center"/>
    </xf>
    <xf numFmtId="0" fontId="5" fillId="0" borderId="41" xfId="0" applyFont="1" applyFill="1" applyBorder="1" applyAlignment="1">
      <alignment horizontal="left" wrapText="1"/>
    </xf>
    <xf numFmtId="164" fontId="5" fillId="0" borderId="41" xfId="0" applyNumberFormat="1" applyFont="1" applyFill="1" applyBorder="1" applyAlignment="1">
      <alignment horizontal="left" wrapText="1"/>
    </xf>
    <xf numFmtId="0" fontId="5" fillId="0" borderId="41" xfId="0" applyFont="1" applyFill="1" applyBorder="1" applyAlignment="1">
      <alignment horizontal="center" wrapText="1"/>
    </xf>
    <xf numFmtId="0" fontId="0" fillId="4" borderId="20" xfId="0" applyFill="1" applyBorder="1" applyAlignment="1">
      <alignment horizontal="left"/>
    </xf>
    <xf numFmtId="173" fontId="0" fillId="0" borderId="20" xfId="0" applyNumberFormat="1" applyFill="1" applyBorder="1" applyAlignment="1">
      <alignment horizont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20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 vertical="center"/>
    </xf>
    <xf numFmtId="0" fontId="0" fillId="0" borderId="20" xfId="0" applyFill="1" applyBorder="1" applyAlignment="1">
      <alignment horizontal="left"/>
    </xf>
    <xf numFmtId="168" fontId="0" fillId="0" borderId="20" xfId="0" applyNumberFormat="1" applyFill="1" applyBorder="1" applyAlignment="1">
      <alignment horizontal="center"/>
    </xf>
    <xf numFmtId="0" fontId="0" fillId="0" borderId="20" xfId="0" applyBorder="1" applyAlignment="1">
      <alignment horizontal="left"/>
    </xf>
    <xf numFmtId="2" fontId="5" fillId="0" borderId="42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6" xfId="0" applyFont="1" applyBorder="1" applyAlignment="1">
      <alignment wrapText="1"/>
    </xf>
    <xf numFmtId="164" fontId="5" fillId="0" borderId="7" xfId="0" applyNumberFormat="1" applyFont="1" applyBorder="1" applyAlignment="1">
      <alignment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0" fillId="0" borderId="44" xfId="0" applyBorder="1"/>
    <xf numFmtId="164" fontId="0" fillId="0" borderId="45" xfId="0" applyNumberFormat="1" applyBorder="1"/>
    <xf numFmtId="0" fontId="0" fillId="0" borderId="23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4" fillId="0" borderId="46" xfId="0" applyFont="1" applyBorder="1"/>
    <xf numFmtId="164" fontId="0" fillId="0" borderId="47" xfId="0" applyNumberFormat="1" applyBorder="1"/>
    <xf numFmtId="0" fontId="0" fillId="0" borderId="48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/>
    <xf numFmtId="164" fontId="0" fillId="0" borderId="39" xfId="0" applyNumberFormat="1" applyBorder="1"/>
    <xf numFmtId="2" fontId="0" fillId="0" borderId="25" xfId="0" applyNumberFormat="1" applyBorder="1" applyAlignment="1">
      <alignment horizontal="right" vertical="center"/>
    </xf>
    <xf numFmtId="2" fontId="0" fillId="0" borderId="51" xfId="0" applyNumberForma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51" xfId="0" applyBorder="1" applyAlignment="1">
      <alignment horizontal="right"/>
    </xf>
    <xf numFmtId="0" fontId="0" fillId="0" borderId="50" xfId="0" applyBorder="1" applyAlignment="1">
      <alignment horizontal="left"/>
    </xf>
    <xf numFmtId="2" fontId="0" fillId="0" borderId="51" xfId="0" applyNumberFormat="1" applyBorder="1" applyAlignment="1">
      <alignment horizontal="right"/>
    </xf>
    <xf numFmtId="0" fontId="0" fillId="0" borderId="50" xfId="0" applyFill="1" applyBorder="1" applyAlignment="1">
      <alignment horizontal="left"/>
    </xf>
    <xf numFmtId="0" fontId="4" fillId="0" borderId="52" xfId="0" applyFont="1" applyFill="1" applyBorder="1" applyAlignment="1">
      <alignment horizontal="left"/>
    </xf>
    <xf numFmtId="164" fontId="0" fillId="0" borderId="53" xfId="0" applyNumberFormat="1" applyBorder="1"/>
    <xf numFmtId="2" fontId="0" fillId="0" borderId="28" xfId="0" applyNumberForma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0" fontId="0" fillId="0" borderId="52" xfId="0" applyFill="1" applyBorder="1" applyAlignment="1">
      <alignment horizontal="left"/>
    </xf>
    <xf numFmtId="0" fontId="0" fillId="0" borderId="55" xfId="0" applyFill="1" applyBorder="1" applyAlignment="1">
      <alignment horizontal="left"/>
    </xf>
    <xf numFmtId="164" fontId="0" fillId="0" borderId="56" xfId="0" applyNumberFormat="1" applyBorder="1"/>
    <xf numFmtId="0" fontId="0" fillId="0" borderId="33" xfId="0" applyBorder="1" applyAlignment="1">
      <alignment horizontal="right"/>
    </xf>
    <xf numFmtId="2" fontId="0" fillId="0" borderId="35" xfId="0" applyNumberForma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 sz="5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°C/mL - mid time (1:40pm)</a:t>
            </a:r>
            <a:endParaRPr lang="en-NZ"/>
          </a:p>
        </c:rich>
      </c:tx>
      <c:layout>
        <c:manualLayout>
          <c:xMode val="edge"/>
          <c:yMode val="edge"/>
          <c:x val="0.34713367725586"/>
          <c:y val="0.03438395415472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23566878980892"/>
          <c:y val="0.143266676087197"/>
          <c:w val="0.863057324840764"/>
          <c:h val="0.7621787167838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'Y13 SWH 2013 3-9-13'!$D$4:$O$4</c:f>
              <c:strCache>
                <c:ptCount val="12"/>
                <c:pt idx="0">
                  <c:v>Mr D Trad 2011</c:v>
                </c:pt>
                <c:pt idx="1">
                  <c:v>Mr D Lamellar  2011</c:v>
                </c:pt>
                <c:pt idx="2">
                  <c:v>Brandon 2/3 Glass Corrugated</c:v>
                </c:pt>
                <c:pt idx="3">
                  <c:v>Hamiora 4:1 Glass Traditional</c:v>
                </c:pt>
                <c:pt idx="4">
                  <c:v>Cameron Corrugated</c:v>
                </c:pt>
                <c:pt idx="5">
                  <c:v>Colin 4:1 DIY 4 Riser</c:v>
                </c:pt>
                <c:pt idx="6">
                  <c:v>Caleb 4:1 Traditional</c:v>
                </c:pt>
                <c:pt idx="7">
                  <c:v>Alec Reflector / Hot Body</c:v>
                </c:pt>
                <c:pt idx="8">
                  <c:v>Huey 4:1 Direct Injection DIY 3 Riser</c:v>
                </c:pt>
                <c:pt idx="9">
                  <c:v>Sam 4:1 Closed Loop water + glycol</c:v>
                </c:pt>
                <c:pt idx="10">
                  <c:v>Sam 4:1 Closed Loop water</c:v>
                </c:pt>
                <c:pt idx="11">
                  <c:v>IRRADIANCE (W/m²)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0.0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799992"/>
        <c:axId val="2145801592"/>
      </c:barChart>
      <c:catAx>
        <c:axId val="214579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801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5801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799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 paperSize="9" orientation="landscape" horizontalDpi="300" verticalDpi="300" copies="1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2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COST of COLLECTOR</a:t>
            </a:r>
          </a:p>
        </c:rich>
      </c:tx>
      <c:layout>
        <c:manualLayout>
          <c:xMode val="edge"/>
          <c:yMode val="edge"/>
          <c:x val="0.28650905924895"/>
          <c:y val="0.0082781456953642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3367728853"/>
          <c:y val="0.0933157466991753"/>
          <c:w val="0.892906815020862"/>
          <c:h val="0.75662312822001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'Y13 SWH 2013 3-9-13'!$C$50</c:f>
              <c:strCache>
                <c:ptCount val="1"/>
                <c:pt idx="0">
                  <c:v>Cost of SWH System ($)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_-\$* #,##0_-;\-\$* #,##0_-;_-\$* &quot;-&quot;_-;_-@_-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'Y13 SWH 2013 3-9-13'!$D$4:$O$4</c:f>
              <c:strCache>
                <c:ptCount val="12"/>
                <c:pt idx="0">
                  <c:v>Mr D Trad 2011</c:v>
                </c:pt>
                <c:pt idx="1">
                  <c:v>Mr D Lamellar  2011</c:v>
                </c:pt>
                <c:pt idx="2">
                  <c:v>Brandon 2/3 Glass Corrugated</c:v>
                </c:pt>
                <c:pt idx="3">
                  <c:v>Hamiora 4:1 Glass Traditional</c:v>
                </c:pt>
                <c:pt idx="4">
                  <c:v>Cameron Corrugated</c:v>
                </c:pt>
                <c:pt idx="5">
                  <c:v>Colin 4:1 DIY 4 Riser</c:v>
                </c:pt>
                <c:pt idx="6">
                  <c:v>Caleb 4:1 Traditional</c:v>
                </c:pt>
                <c:pt idx="7">
                  <c:v>Alec Reflector / Hot Body</c:v>
                </c:pt>
                <c:pt idx="8">
                  <c:v>Huey 4:1 Direct Injection DIY 3 Riser</c:v>
                </c:pt>
                <c:pt idx="9">
                  <c:v>Sam 4:1 Closed Loop water + glycol</c:v>
                </c:pt>
                <c:pt idx="10">
                  <c:v>Sam 4:1 Closed Loop water</c:v>
                </c:pt>
                <c:pt idx="11">
                  <c:v>IRRADIANCE (W/m²)</c:v>
                </c:pt>
              </c:strCache>
            </c:strRef>
          </c:cat>
          <c:val>
            <c:numRef>
              <c:f>'Y13 SWH 2013 3-9-13'!$D$50:$O$50</c:f>
              <c:numCache>
                <c:formatCode>0.00</c:formatCode>
                <c:ptCount val="12"/>
                <c:pt idx="0">
                  <c:v>65.2646929848485</c:v>
                </c:pt>
                <c:pt idx="1">
                  <c:v>71.2916009848485</c:v>
                </c:pt>
                <c:pt idx="3" formatCode="General">
                  <c:v>99.0</c:v>
                </c:pt>
                <c:pt idx="4" formatCode="General">
                  <c:v>60.87</c:v>
                </c:pt>
                <c:pt idx="5" formatCode="General">
                  <c:v>65.0</c:v>
                </c:pt>
                <c:pt idx="6" formatCode="General">
                  <c:v>99.0</c:v>
                </c:pt>
                <c:pt idx="7" formatCode="General">
                  <c:v>119.63</c:v>
                </c:pt>
                <c:pt idx="8" formatCode="General">
                  <c:v>49.045075</c:v>
                </c:pt>
              </c:numCache>
            </c:numRef>
          </c:val>
        </c:ser>
        <c:ser>
          <c:idx val="0"/>
          <c:order val="1"/>
          <c:tx>
            <c:strRef>
              <c:f>'Y13 SWH 2013 3-9-13'!$C$51</c:f>
              <c:strCache>
                <c:ptCount val="1"/>
                <c:pt idx="0">
                  <c:v>Cost of Collector ($)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_-\$* #,##0_-;\-\$* #,##0_-;_-\$* &quot;-&quot;_-;_-@_-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'Y13 SWH 2013 3-9-13'!$D$4:$O$4</c:f>
              <c:strCache>
                <c:ptCount val="12"/>
                <c:pt idx="0">
                  <c:v>Mr D Trad 2011</c:v>
                </c:pt>
                <c:pt idx="1">
                  <c:v>Mr D Lamellar  2011</c:v>
                </c:pt>
                <c:pt idx="2">
                  <c:v>Brandon 2/3 Glass Corrugated</c:v>
                </c:pt>
                <c:pt idx="3">
                  <c:v>Hamiora 4:1 Glass Traditional</c:v>
                </c:pt>
                <c:pt idx="4">
                  <c:v>Cameron Corrugated</c:v>
                </c:pt>
                <c:pt idx="5">
                  <c:v>Colin 4:1 DIY 4 Riser</c:v>
                </c:pt>
                <c:pt idx="6">
                  <c:v>Caleb 4:1 Traditional</c:v>
                </c:pt>
                <c:pt idx="7">
                  <c:v>Alec Reflector / Hot Body</c:v>
                </c:pt>
                <c:pt idx="8">
                  <c:v>Huey 4:1 Direct Injection DIY 3 Riser</c:v>
                </c:pt>
                <c:pt idx="9">
                  <c:v>Sam 4:1 Closed Loop water + glycol</c:v>
                </c:pt>
                <c:pt idx="10">
                  <c:v>Sam 4:1 Closed Loop water</c:v>
                </c:pt>
                <c:pt idx="11">
                  <c:v>IRRADIANCE (W/m²)</c:v>
                </c:pt>
              </c:strCache>
            </c:strRef>
          </c:cat>
          <c:val>
            <c:numRef>
              <c:f>'Y13 SWH 2013 3-9-13'!$D$51:$O$51</c:f>
              <c:numCache>
                <c:formatCode>0.00</c:formatCode>
                <c:ptCount val="12"/>
                <c:pt idx="0">
                  <c:v>36.79928783333334</c:v>
                </c:pt>
                <c:pt idx="1">
                  <c:v>42.82619583333333</c:v>
                </c:pt>
                <c:pt idx="3" formatCode="General">
                  <c:v>76.4</c:v>
                </c:pt>
                <c:pt idx="4" formatCode="General">
                  <c:v>41.8</c:v>
                </c:pt>
                <c:pt idx="5" formatCode="General">
                  <c:v>50.9</c:v>
                </c:pt>
                <c:pt idx="6" formatCode="General">
                  <c:v>71.8</c:v>
                </c:pt>
                <c:pt idx="7" formatCode="General">
                  <c:v>88.93</c:v>
                </c:pt>
                <c:pt idx="8" formatCode="General">
                  <c:v>40.135</c:v>
                </c:pt>
                <c:pt idx="9" formatCode="General">
                  <c:v>38.04</c:v>
                </c:pt>
                <c:pt idx="10" formatCode="General">
                  <c:v>38.04</c:v>
                </c:pt>
              </c:numCache>
            </c:numRef>
          </c:val>
        </c:ser>
        <c:ser>
          <c:idx val="1"/>
          <c:order val="2"/>
          <c:tx>
            <c:strRef>
              <c:f>'Y13 SWH 2013 3-9-13'!$C$35</c:f>
              <c:strCache>
                <c:ptCount val="1"/>
                <c:pt idx="0">
                  <c:v>Watts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\W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'Y13 SWH 2013 3-9-13'!$D$35:$O$35</c:f>
              <c:numCache>
                <c:formatCode>0.0</c:formatCode>
                <c:ptCount val="12"/>
                <c:pt idx="0">
                  <c:v>15.449292</c:v>
                </c:pt>
                <c:pt idx="1">
                  <c:v>18.819666</c:v>
                </c:pt>
                <c:pt idx="2">
                  <c:v>26.23478785714286</c:v>
                </c:pt>
                <c:pt idx="3">
                  <c:v>22.51003114285714</c:v>
                </c:pt>
                <c:pt idx="4">
                  <c:v>21.89497028571428</c:v>
                </c:pt>
                <c:pt idx="5">
                  <c:v>21.09748457142857</c:v>
                </c:pt>
                <c:pt idx="6">
                  <c:v>21.13735885714286</c:v>
                </c:pt>
                <c:pt idx="7">
                  <c:v>21.139851</c:v>
                </c:pt>
                <c:pt idx="8">
                  <c:v>14.74052657142857</c:v>
                </c:pt>
                <c:pt idx="9">
                  <c:v>34.11643885714285</c:v>
                </c:pt>
                <c:pt idx="10">
                  <c:v>17.19578571428571</c:v>
                </c:pt>
              </c:numCache>
            </c:numRef>
          </c:val>
        </c:ser>
        <c:ser>
          <c:idx val="2"/>
          <c:order val="3"/>
          <c:tx>
            <c:strRef>
              <c:f>'Y13 SWH 2013 3-9-13'!$C$52</c:f>
              <c:strCache>
                <c:ptCount val="1"/>
                <c:pt idx="0">
                  <c:v>Collector $/W INDEX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'Y13 SWH 2013 3-9-13'!$D$4:$O$4</c:f>
              <c:strCache>
                <c:ptCount val="12"/>
                <c:pt idx="0">
                  <c:v>Mr D Trad 2011</c:v>
                </c:pt>
                <c:pt idx="1">
                  <c:v>Mr D Lamellar  2011</c:v>
                </c:pt>
                <c:pt idx="2">
                  <c:v>Brandon 2/3 Glass Corrugated</c:v>
                </c:pt>
                <c:pt idx="3">
                  <c:v>Hamiora 4:1 Glass Traditional</c:v>
                </c:pt>
                <c:pt idx="4">
                  <c:v>Cameron Corrugated</c:v>
                </c:pt>
                <c:pt idx="5">
                  <c:v>Colin 4:1 DIY 4 Riser</c:v>
                </c:pt>
                <c:pt idx="6">
                  <c:v>Caleb 4:1 Traditional</c:v>
                </c:pt>
                <c:pt idx="7">
                  <c:v>Alec Reflector / Hot Body</c:v>
                </c:pt>
                <c:pt idx="8">
                  <c:v>Huey 4:1 Direct Injection DIY 3 Riser</c:v>
                </c:pt>
                <c:pt idx="9">
                  <c:v>Sam 4:1 Closed Loop water + glycol</c:v>
                </c:pt>
                <c:pt idx="10">
                  <c:v>Sam 4:1 Closed Loop water</c:v>
                </c:pt>
                <c:pt idx="11">
                  <c:v>IRRADIANCE (W/m²)</c:v>
                </c:pt>
              </c:strCache>
            </c:strRef>
          </c:cat>
          <c:val>
            <c:numRef>
              <c:f>'Y13 SWH 2013 3-9-13'!$D$52:$O$52</c:f>
              <c:numCache>
                <c:formatCode>0.00</c:formatCode>
                <c:ptCount val="12"/>
                <c:pt idx="0">
                  <c:v>2.38194008070618</c:v>
                </c:pt>
                <c:pt idx="1">
                  <c:v>2.275608708110618</c:v>
                </c:pt>
                <c:pt idx="2">
                  <c:v>0.0</c:v>
                </c:pt>
                <c:pt idx="3">
                  <c:v>3.290990782280951</c:v>
                </c:pt>
                <c:pt idx="4">
                  <c:v>1.859238650191754</c:v>
                </c:pt>
                <c:pt idx="5">
                  <c:v>2.295718943934764</c:v>
                </c:pt>
                <c:pt idx="6">
                  <c:v>3.29135775525192</c:v>
                </c:pt>
                <c:pt idx="7">
                  <c:v>4.149535018009352</c:v>
                </c:pt>
                <c:pt idx="8">
                  <c:v>2.744147909225931</c:v>
                </c:pt>
                <c:pt idx="9">
                  <c:v>1.178950539604134</c:v>
                </c:pt>
                <c:pt idx="10">
                  <c:v>2.339037870574601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905576"/>
        <c:axId val="2145909032"/>
      </c:barChart>
      <c:catAx>
        <c:axId val="214590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90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5909032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(excl GST)</a:t>
                </a:r>
              </a:p>
            </c:rich>
          </c:tx>
          <c:layout>
            <c:manualLayout>
              <c:xMode val="edge"/>
              <c:yMode val="edge"/>
              <c:x val="0.0069541731012437"/>
              <c:y val="0.359271870817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905576"/>
        <c:crosses val="autoZero"/>
        <c:crossBetween val="between"/>
        <c:majorUnit val="5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2122171169282"/>
          <c:y val="0.293046531435226"/>
          <c:w val="0.198347409963585"/>
          <c:h val="0.09933774834437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5" l="0.393700787401575" r="0.393700787401575" t="0.393700787401575" header="0.511811023622047" footer="0.511811023622047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1/2hr Temperature Change &amp; Volume</a:t>
            </a:r>
          </a:p>
        </c:rich>
      </c:tx>
      <c:layout>
        <c:manualLayout>
          <c:xMode val="edge"/>
          <c:yMode val="edge"/>
          <c:x val="0.321361058601134"/>
          <c:y val="0.0265096181426205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17202268431"/>
          <c:y val="0.0706170890935598"/>
          <c:w val="0.783553875236295"/>
          <c:h val="0.74729894597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'Y13 SWH 2013 3-9-13'!$C$29</c:f>
              <c:strCache>
                <c:ptCount val="1"/>
                <c:pt idx="0">
                  <c:v>Temperature Change (∆°C)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'Y13 SWH 2013 3-9-13'!$D$4:$O$4</c:f>
              <c:strCache>
                <c:ptCount val="12"/>
                <c:pt idx="0">
                  <c:v>Mr D Trad 2011</c:v>
                </c:pt>
                <c:pt idx="1">
                  <c:v>Mr D Lamellar  2011</c:v>
                </c:pt>
                <c:pt idx="2">
                  <c:v>Brandon 2/3 Glass Corrugated</c:v>
                </c:pt>
                <c:pt idx="3">
                  <c:v>Hamiora 4:1 Glass Traditional</c:v>
                </c:pt>
                <c:pt idx="4">
                  <c:v>Cameron Corrugated</c:v>
                </c:pt>
                <c:pt idx="5">
                  <c:v>Colin 4:1 DIY 4 Riser</c:v>
                </c:pt>
                <c:pt idx="6">
                  <c:v>Caleb 4:1 Traditional</c:v>
                </c:pt>
                <c:pt idx="7">
                  <c:v>Alec Reflector / Hot Body</c:v>
                </c:pt>
                <c:pt idx="8">
                  <c:v>Huey 4:1 Direct Injection DIY 3 Riser</c:v>
                </c:pt>
                <c:pt idx="9">
                  <c:v>Sam 4:1 Closed Loop water + glycol</c:v>
                </c:pt>
                <c:pt idx="10">
                  <c:v>Sam 4:1 Closed Loop water</c:v>
                </c:pt>
                <c:pt idx="11">
                  <c:v>IRRADIANCE (W/m²)</c:v>
                </c:pt>
              </c:strCache>
            </c:strRef>
          </c:cat>
          <c:val>
            <c:numRef>
              <c:f>'Y13 SWH 2013 3-9-13'!$D$29:$O$29</c:f>
              <c:numCache>
                <c:formatCode>0.0</c:formatCode>
                <c:ptCount val="12"/>
                <c:pt idx="0">
                  <c:v>27.0</c:v>
                </c:pt>
                <c:pt idx="1">
                  <c:v>29.0</c:v>
                </c:pt>
                <c:pt idx="2">
                  <c:v>43.5</c:v>
                </c:pt>
                <c:pt idx="3">
                  <c:v>39.0</c:v>
                </c:pt>
                <c:pt idx="4">
                  <c:v>38.0</c:v>
                </c:pt>
                <c:pt idx="5">
                  <c:v>37.0</c:v>
                </c:pt>
                <c:pt idx="6">
                  <c:v>38.0</c:v>
                </c:pt>
                <c:pt idx="7">
                  <c:v>41.5</c:v>
                </c:pt>
                <c:pt idx="8">
                  <c:v>26.5</c:v>
                </c:pt>
                <c:pt idx="9">
                  <c:v>34.5</c:v>
                </c:pt>
                <c:pt idx="10">
                  <c:v>34.5</c:v>
                </c:pt>
                <c:pt idx="11">
                  <c:v>34.0</c:v>
                </c:pt>
              </c:numCache>
            </c:numRef>
          </c:val>
        </c:ser>
        <c:ser>
          <c:idx val="1"/>
          <c:order val="1"/>
          <c:tx>
            <c:strRef>
              <c:f>'Y13 SWH 2013 3-9-13'!$C$32</c:f>
              <c:strCache>
                <c:ptCount val="1"/>
                <c:pt idx="0">
                  <c:v>Volume (L)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'Y13 SWH 2013 3-9-13'!$D$4:$O$4</c:f>
              <c:strCache>
                <c:ptCount val="12"/>
                <c:pt idx="0">
                  <c:v>Mr D Trad 2011</c:v>
                </c:pt>
                <c:pt idx="1">
                  <c:v>Mr D Lamellar  2011</c:v>
                </c:pt>
                <c:pt idx="2">
                  <c:v>Brandon 2/3 Glass Corrugated</c:v>
                </c:pt>
                <c:pt idx="3">
                  <c:v>Hamiora 4:1 Glass Traditional</c:v>
                </c:pt>
                <c:pt idx="4">
                  <c:v>Cameron Corrugated</c:v>
                </c:pt>
                <c:pt idx="5">
                  <c:v>Colin 4:1 DIY 4 Riser</c:v>
                </c:pt>
                <c:pt idx="6">
                  <c:v>Caleb 4:1 Traditional</c:v>
                </c:pt>
                <c:pt idx="7">
                  <c:v>Alec Reflector / Hot Body</c:v>
                </c:pt>
                <c:pt idx="8">
                  <c:v>Huey 4:1 Direct Injection DIY 3 Riser</c:v>
                </c:pt>
                <c:pt idx="9">
                  <c:v>Sam 4:1 Closed Loop water + glycol</c:v>
                </c:pt>
                <c:pt idx="10">
                  <c:v>Sam 4:1 Closed Loop water</c:v>
                </c:pt>
                <c:pt idx="11">
                  <c:v>IRRADIANCE (W/m²)</c:v>
                </c:pt>
              </c:strCache>
            </c:strRef>
          </c:cat>
          <c:val>
            <c:numRef>
              <c:f>'Y13 SWH 2013 3-9-13'!$D$32:$O$32</c:f>
              <c:numCache>
                <c:formatCode>General</c:formatCode>
                <c:ptCount val="12"/>
                <c:pt idx="0">
                  <c:v>0.574</c:v>
                </c:pt>
                <c:pt idx="1">
                  <c:v>0.651</c:v>
                </c:pt>
                <c:pt idx="2">
                  <c:v>0.605</c:v>
                </c:pt>
                <c:pt idx="3">
                  <c:v>0.579</c:v>
                </c:pt>
                <c:pt idx="4">
                  <c:v>0.578</c:v>
                </c:pt>
                <c:pt idx="5">
                  <c:v>0.572</c:v>
                </c:pt>
                <c:pt idx="6">
                  <c:v>0.558</c:v>
                </c:pt>
                <c:pt idx="7">
                  <c:v>0.511</c:v>
                </c:pt>
                <c:pt idx="8">
                  <c:v>0.558</c:v>
                </c:pt>
                <c:pt idx="9">
                  <c:v>0.992</c:v>
                </c:pt>
                <c:pt idx="10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5948344"/>
        <c:axId val="2145951752"/>
        <c:axId val="0"/>
      </c:bar3DChart>
      <c:catAx>
        <c:axId val="2145948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951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5951752"/>
        <c:scaling>
          <c:orientation val="minMax"/>
          <c:max val="19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mL   &amp;   degC</a:t>
                </a:r>
              </a:p>
            </c:rich>
          </c:tx>
          <c:layout>
            <c:manualLayout>
              <c:xMode val="edge"/>
              <c:yMode val="edge"/>
              <c:x val="0.138941398865785"/>
              <c:y val="0.402062110038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948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767676" mc:Ignorable="a14" a14:legacySpreadsheetColorIndex="78">
            <a:gamma/>
            <a:shade val="46275"/>
            <a:invGamma/>
          </a:srgbClr>
        </a:gs>
        <a:gs pos="50000">
          <a:srgbClr xmlns:mc="http://schemas.openxmlformats.org/markup-compatibility/2006" xmlns:a14="http://schemas.microsoft.com/office/drawing/2010/main" val="FFFFFF" mc:Ignorable="a14" a14:legacySpreadsheetColorIndex="78"/>
        </a:gs>
        <a:gs pos="100000">
          <a:srgbClr xmlns:mc="http://schemas.openxmlformats.org/markup-compatibility/2006" xmlns:a14="http://schemas.microsoft.com/office/drawing/2010/main" val="767676" mc:Ignorable="a14" a14:legacySpreadsheetColorIndex="78">
            <a:gamma/>
            <a:shade val="46275"/>
            <a:invGamma/>
          </a:srgbClr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SOLAR WATER HEATING SYSTEM (model) POWER</a:t>
            </a:r>
          </a:p>
        </c:rich>
      </c:tx>
      <c:layout>
        <c:manualLayout>
          <c:xMode val="edge"/>
          <c:yMode val="edge"/>
          <c:x val="0.275184477679935"/>
          <c:y val="0.0330330330330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5648244954704"/>
          <c:y val="0.207207814869014"/>
          <c:w val="0.898149163308788"/>
          <c:h val="0.558560196603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'Y13 SWH 2013 3-9-13'!$C$37</c:f>
              <c:strCache>
                <c:ptCount val="1"/>
                <c:pt idx="0">
                  <c:v>Watts (W) (for 0.04m² area)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'Y13 SWH 2013 3-9-13'!$D$4:$O$4</c:f>
              <c:strCache>
                <c:ptCount val="12"/>
                <c:pt idx="0">
                  <c:v>Mr D Trad 2011</c:v>
                </c:pt>
                <c:pt idx="1">
                  <c:v>Mr D Lamellar  2011</c:v>
                </c:pt>
                <c:pt idx="2">
                  <c:v>Brandon 2/3 Glass Corrugated</c:v>
                </c:pt>
                <c:pt idx="3">
                  <c:v>Hamiora 4:1 Glass Traditional</c:v>
                </c:pt>
                <c:pt idx="4">
                  <c:v>Cameron Corrugated</c:v>
                </c:pt>
                <c:pt idx="5">
                  <c:v>Colin 4:1 DIY 4 Riser</c:v>
                </c:pt>
                <c:pt idx="6">
                  <c:v>Caleb 4:1 Traditional</c:v>
                </c:pt>
                <c:pt idx="7">
                  <c:v>Alec Reflector / Hot Body</c:v>
                </c:pt>
                <c:pt idx="8">
                  <c:v>Huey 4:1 Direct Injection DIY 3 Riser</c:v>
                </c:pt>
                <c:pt idx="9">
                  <c:v>Sam 4:1 Closed Loop water + glycol</c:v>
                </c:pt>
                <c:pt idx="10">
                  <c:v>Sam 4:1 Closed Loop water</c:v>
                </c:pt>
                <c:pt idx="11">
                  <c:v>IRRADIANCE (W/m²)</c:v>
                </c:pt>
              </c:strCache>
            </c:strRef>
          </c:cat>
          <c:val>
            <c:numRef>
              <c:f>'Y13 SWH 2013 3-9-13'!$D$37:$O$37</c:f>
              <c:numCache>
                <c:formatCode>0.0</c:formatCode>
                <c:ptCount val="12"/>
                <c:pt idx="0">
                  <c:v>15.449292</c:v>
                </c:pt>
                <c:pt idx="1">
                  <c:v>18.819666</c:v>
                </c:pt>
                <c:pt idx="2">
                  <c:v>23.39258837016751</c:v>
                </c:pt>
                <c:pt idx="3">
                  <c:v>23.21489334195217</c:v>
                </c:pt>
                <c:pt idx="4">
                  <c:v>22.48232091974256</c:v>
                </c:pt>
                <c:pt idx="5">
                  <c:v>22.17170361140095</c:v>
                </c:pt>
                <c:pt idx="6">
                  <c:v>21.81470546172956</c:v>
                </c:pt>
                <c:pt idx="7">
                  <c:v>21.43131690997567</c:v>
                </c:pt>
                <c:pt idx="8">
                  <c:v>14.6256693617223</c:v>
                </c:pt>
                <c:pt idx="9">
                  <c:v>32.26598463814522</c:v>
                </c:pt>
                <c:pt idx="10">
                  <c:v>16.26309709583933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989464"/>
        <c:axId val="2145992888"/>
      </c:barChart>
      <c:catAx>
        <c:axId val="2145989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992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5992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Watts (W) </a:t>
                </a:r>
              </a:p>
            </c:rich>
          </c:tx>
          <c:layout>
            <c:manualLayout>
              <c:xMode val="edge"/>
              <c:yMode val="edge"/>
              <c:x val="0.0196560489110459"/>
              <c:y val="0.39940066050302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5989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5" l="0.393700787401575" r="0.393700787401575" t="0.393700787401575" header="0.511811023622047" footer="0.511811023622047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 sz="2000" u="sng"/>
              <a:t>Y13 SolarWater Heating Prototype</a:t>
            </a:r>
            <a:r>
              <a:rPr lang="en-NZ" sz="2000" u="sng" baseline="0"/>
              <a:t> TEST RACE - 3 Sep 2013</a:t>
            </a:r>
          </a:p>
        </c:rich>
      </c:tx>
      <c:layout>
        <c:manualLayout>
          <c:xMode val="edge"/>
          <c:yMode val="edge"/>
          <c:x val="0.100920072762939"/>
          <c:y val="0.023489313886197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069679200212333"/>
          <c:y val="0.0880803890388868"/>
          <c:w val="0.702260166917337"/>
          <c:h val="0.802104709572308"/>
        </c:manualLayout>
      </c:layout>
      <c:lineChart>
        <c:grouping val="standard"/>
        <c:varyColors val="0"/>
        <c:ser>
          <c:idx val="0"/>
          <c:order val="0"/>
          <c:tx>
            <c:strRef>
              <c:f>'Y13 SWH 2013 3-9-13'!$D$4</c:f>
              <c:strCache>
                <c:ptCount val="1"/>
                <c:pt idx="0">
                  <c:v>Mr D Trad 2011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3-9-13'!$D$5:$D$19</c:f>
              <c:numCache>
                <c:formatCode>0.0</c:formatCode>
                <c:ptCount val="15"/>
                <c:pt idx="0">
                  <c:v>14.0</c:v>
                </c:pt>
                <c:pt idx="1">
                  <c:v>19.8</c:v>
                </c:pt>
                <c:pt idx="2">
                  <c:v>24.8</c:v>
                </c:pt>
                <c:pt idx="3">
                  <c:v>27.0</c:v>
                </c:pt>
                <c:pt idx="4">
                  <c:v>29.0</c:v>
                </c:pt>
                <c:pt idx="5">
                  <c:v>30.5</c:v>
                </c:pt>
                <c:pt idx="6">
                  <c:v>32.3</c:v>
                </c:pt>
                <c:pt idx="7">
                  <c:v>34.0</c:v>
                </c:pt>
                <c:pt idx="8">
                  <c:v>35.0</c:v>
                </c:pt>
                <c:pt idx="9">
                  <c:v>36.6</c:v>
                </c:pt>
                <c:pt idx="10">
                  <c:v>37.5</c:v>
                </c:pt>
                <c:pt idx="11">
                  <c:v>38.0</c:v>
                </c:pt>
                <c:pt idx="12">
                  <c:v>39.8</c:v>
                </c:pt>
                <c:pt idx="13">
                  <c:v>40.2</c:v>
                </c:pt>
                <c:pt idx="14">
                  <c:v>41.0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'Y13 SWH 2013 3-9-13'!$E$4</c:f>
              <c:strCache>
                <c:ptCount val="1"/>
                <c:pt idx="0">
                  <c:v>Mr D Lamellar  2011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3-9-13'!$E$5:$E$19</c:f>
              <c:numCache>
                <c:formatCode>0.0</c:formatCode>
                <c:ptCount val="15"/>
                <c:pt idx="0">
                  <c:v>14.0</c:v>
                </c:pt>
                <c:pt idx="1">
                  <c:v>16.0</c:v>
                </c:pt>
                <c:pt idx="2">
                  <c:v>18.2</c:v>
                </c:pt>
                <c:pt idx="3">
                  <c:v>22.0</c:v>
                </c:pt>
                <c:pt idx="4">
                  <c:v>25.0</c:v>
                </c:pt>
                <c:pt idx="5">
                  <c:v>28.3</c:v>
                </c:pt>
                <c:pt idx="6">
                  <c:v>30.8</c:v>
                </c:pt>
                <c:pt idx="7">
                  <c:v>32.5</c:v>
                </c:pt>
                <c:pt idx="8">
                  <c:v>33.8</c:v>
                </c:pt>
                <c:pt idx="9">
                  <c:v>35.5</c:v>
                </c:pt>
                <c:pt idx="10">
                  <c:v>37.3</c:v>
                </c:pt>
                <c:pt idx="11">
                  <c:v>38.2</c:v>
                </c:pt>
                <c:pt idx="12">
                  <c:v>40.0</c:v>
                </c:pt>
                <c:pt idx="13">
                  <c:v>41.0</c:v>
                </c:pt>
                <c:pt idx="14">
                  <c:v>43.0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'Y13 SWH 2013 3-9-13'!$F$4</c:f>
              <c:strCache>
                <c:ptCount val="1"/>
                <c:pt idx="0">
                  <c:v>Brandon 2/3 Glass Corrugated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3-9-13'!$F$5:$F$19</c:f>
              <c:numCache>
                <c:formatCode>0.0</c:formatCode>
                <c:ptCount val="15"/>
                <c:pt idx="0">
                  <c:v>14.0</c:v>
                </c:pt>
                <c:pt idx="1">
                  <c:v>25.0</c:v>
                </c:pt>
                <c:pt idx="2">
                  <c:v>28.0</c:v>
                </c:pt>
                <c:pt idx="3">
                  <c:v>32.0</c:v>
                </c:pt>
                <c:pt idx="4">
                  <c:v>34.0</c:v>
                </c:pt>
                <c:pt idx="5">
                  <c:v>37.0</c:v>
                </c:pt>
                <c:pt idx="6">
                  <c:v>40.0</c:v>
                </c:pt>
                <c:pt idx="7">
                  <c:v>43.0</c:v>
                </c:pt>
                <c:pt idx="8">
                  <c:v>45.5</c:v>
                </c:pt>
                <c:pt idx="9">
                  <c:v>48.0</c:v>
                </c:pt>
                <c:pt idx="10">
                  <c:v>50.0</c:v>
                </c:pt>
                <c:pt idx="11">
                  <c:v>52.0</c:v>
                </c:pt>
                <c:pt idx="12">
                  <c:v>54.0</c:v>
                </c:pt>
                <c:pt idx="13">
                  <c:v>56.0</c:v>
                </c:pt>
                <c:pt idx="14">
                  <c:v>57.5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'Y13 SWH 2013 3-9-13'!$H$4</c:f>
              <c:strCache>
                <c:ptCount val="1"/>
                <c:pt idx="0">
                  <c:v>Cameron Corrugated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3-9-13'!$H$5:$H$19</c:f>
              <c:numCache>
                <c:formatCode>0.0</c:formatCode>
                <c:ptCount val="15"/>
                <c:pt idx="0">
                  <c:v>13.0</c:v>
                </c:pt>
                <c:pt idx="1">
                  <c:v>22.0</c:v>
                </c:pt>
                <c:pt idx="2">
                  <c:v>27.0</c:v>
                </c:pt>
                <c:pt idx="3">
                  <c:v>30.5</c:v>
                </c:pt>
                <c:pt idx="4">
                  <c:v>32.5</c:v>
                </c:pt>
                <c:pt idx="5">
                  <c:v>35.0</c:v>
                </c:pt>
                <c:pt idx="6">
                  <c:v>37.0</c:v>
                </c:pt>
                <c:pt idx="7">
                  <c:v>39.0</c:v>
                </c:pt>
                <c:pt idx="8">
                  <c:v>41.0</c:v>
                </c:pt>
                <c:pt idx="9">
                  <c:v>43.0</c:v>
                </c:pt>
                <c:pt idx="10">
                  <c:v>45.0</c:v>
                </c:pt>
                <c:pt idx="11">
                  <c:v>47.0</c:v>
                </c:pt>
                <c:pt idx="12">
                  <c:v>48.0</c:v>
                </c:pt>
                <c:pt idx="13">
                  <c:v>50.0</c:v>
                </c:pt>
                <c:pt idx="14">
                  <c:v>51.0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'Y13 SWH 2013 3-9-13'!$K$4</c:f>
              <c:strCache>
                <c:ptCount val="1"/>
                <c:pt idx="0">
                  <c:v>Alec Reflector / Hot Body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3-9-13'!$K$5:$K$19</c:f>
              <c:numCache>
                <c:formatCode>0.0</c:formatCode>
                <c:ptCount val="15"/>
                <c:pt idx="0">
                  <c:v>15.0</c:v>
                </c:pt>
                <c:pt idx="1">
                  <c:v>19.0</c:v>
                </c:pt>
                <c:pt idx="2">
                  <c:v>22.5</c:v>
                </c:pt>
                <c:pt idx="3">
                  <c:v>26.5</c:v>
                </c:pt>
                <c:pt idx="4">
                  <c:v>30.0</c:v>
                </c:pt>
                <c:pt idx="5">
                  <c:v>33.0</c:v>
                </c:pt>
                <c:pt idx="6">
                  <c:v>36.0</c:v>
                </c:pt>
                <c:pt idx="7">
                  <c:v>39.0</c:v>
                </c:pt>
                <c:pt idx="8">
                  <c:v>41.5</c:v>
                </c:pt>
                <c:pt idx="9">
                  <c:v>44.0</c:v>
                </c:pt>
                <c:pt idx="10">
                  <c:v>47.0</c:v>
                </c:pt>
                <c:pt idx="11">
                  <c:v>49.5</c:v>
                </c:pt>
                <c:pt idx="12">
                  <c:v>52.0</c:v>
                </c:pt>
                <c:pt idx="13">
                  <c:v>54.5</c:v>
                </c:pt>
                <c:pt idx="14">
                  <c:v>56.5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'Y13 SWH 2013 3-9-13'!$I$4</c:f>
              <c:strCache>
                <c:ptCount val="1"/>
                <c:pt idx="0">
                  <c:v>Colin 4:1 DIY 4 Riser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3-9-13'!$I$5:$I$19</c:f>
              <c:numCache>
                <c:formatCode>0.0</c:formatCode>
                <c:ptCount val="15"/>
                <c:pt idx="0">
                  <c:v>14.0</c:v>
                </c:pt>
                <c:pt idx="1">
                  <c:v>22.0</c:v>
                </c:pt>
                <c:pt idx="2">
                  <c:v>24.0</c:v>
                </c:pt>
                <c:pt idx="3">
                  <c:v>29.5</c:v>
                </c:pt>
                <c:pt idx="4">
                  <c:v>31.5</c:v>
                </c:pt>
                <c:pt idx="5">
                  <c:v>34.0</c:v>
                </c:pt>
                <c:pt idx="6">
                  <c:v>36.0</c:v>
                </c:pt>
                <c:pt idx="7">
                  <c:v>39.0</c:v>
                </c:pt>
                <c:pt idx="8">
                  <c:v>40.5</c:v>
                </c:pt>
                <c:pt idx="9">
                  <c:v>43.0</c:v>
                </c:pt>
                <c:pt idx="10">
                  <c:v>45.0</c:v>
                </c:pt>
                <c:pt idx="11">
                  <c:v>46.0</c:v>
                </c:pt>
                <c:pt idx="12">
                  <c:v>48.0</c:v>
                </c:pt>
                <c:pt idx="13">
                  <c:v>50.0</c:v>
                </c:pt>
                <c:pt idx="14">
                  <c:v>51.0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'Y13 SWH 2013 3-9-13'!$L$4</c:f>
              <c:strCache>
                <c:ptCount val="1"/>
                <c:pt idx="0">
                  <c:v>Huey 4:1 Direct Injection DIY 3 Riser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3-9-13'!$L$5:$L$19</c:f>
              <c:numCache>
                <c:formatCode>0.0</c:formatCode>
                <c:ptCount val="15"/>
                <c:pt idx="0">
                  <c:v>13.0</c:v>
                </c:pt>
                <c:pt idx="1">
                  <c:v>16.0</c:v>
                </c:pt>
                <c:pt idx="2">
                  <c:v>19.0</c:v>
                </c:pt>
                <c:pt idx="3">
                  <c:v>22.0</c:v>
                </c:pt>
                <c:pt idx="4">
                  <c:v>25.0</c:v>
                </c:pt>
                <c:pt idx="5">
                  <c:v>27.0</c:v>
                </c:pt>
                <c:pt idx="6">
                  <c:v>30.0</c:v>
                </c:pt>
                <c:pt idx="7">
                  <c:v>32.0</c:v>
                </c:pt>
                <c:pt idx="8">
                  <c:v>34.0</c:v>
                </c:pt>
                <c:pt idx="9">
                  <c:v>34.5</c:v>
                </c:pt>
                <c:pt idx="10">
                  <c:v>35.0</c:v>
                </c:pt>
                <c:pt idx="11">
                  <c:v>36.0</c:v>
                </c:pt>
                <c:pt idx="12">
                  <c:v>38.0</c:v>
                </c:pt>
                <c:pt idx="13">
                  <c:v>38.5</c:v>
                </c:pt>
                <c:pt idx="14">
                  <c:v>39.5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'Y13 SWH 2013 3-9-13'!$G$4</c:f>
              <c:strCache>
                <c:ptCount val="1"/>
                <c:pt idx="0">
                  <c:v>Hamiora 4:1 Glass Traditional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3-9-13'!$G$5:$G$19</c:f>
              <c:numCache>
                <c:formatCode>0.0</c:formatCode>
                <c:ptCount val="15"/>
                <c:pt idx="0">
                  <c:v>14.0</c:v>
                </c:pt>
                <c:pt idx="1">
                  <c:v>19.0</c:v>
                </c:pt>
                <c:pt idx="2">
                  <c:v>25.5</c:v>
                </c:pt>
                <c:pt idx="3">
                  <c:v>29.5</c:v>
                </c:pt>
                <c:pt idx="4">
                  <c:v>32.0</c:v>
                </c:pt>
                <c:pt idx="5">
                  <c:v>34.5</c:v>
                </c:pt>
                <c:pt idx="6">
                  <c:v>37.0</c:v>
                </c:pt>
                <c:pt idx="7">
                  <c:v>39.0</c:v>
                </c:pt>
                <c:pt idx="8">
                  <c:v>41.0</c:v>
                </c:pt>
                <c:pt idx="9">
                  <c:v>44.0</c:v>
                </c:pt>
                <c:pt idx="10">
                  <c:v>46.0</c:v>
                </c:pt>
                <c:pt idx="11">
                  <c:v>48.0</c:v>
                </c:pt>
                <c:pt idx="12">
                  <c:v>49.8</c:v>
                </c:pt>
                <c:pt idx="13">
                  <c:v>51.2</c:v>
                </c:pt>
                <c:pt idx="14">
                  <c:v>53.0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'Y13 SWH 2013 3-9-13'!$J$4</c:f>
              <c:strCache>
                <c:ptCount val="1"/>
                <c:pt idx="0">
                  <c:v>Caleb 4:1 Traditional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3-9-13'!$J$5:$J$19</c:f>
              <c:numCache>
                <c:formatCode>0.0</c:formatCode>
                <c:ptCount val="15"/>
                <c:pt idx="0">
                  <c:v>15.0</c:v>
                </c:pt>
                <c:pt idx="1">
                  <c:v>22.5</c:v>
                </c:pt>
                <c:pt idx="2">
                  <c:v>27.0</c:v>
                </c:pt>
                <c:pt idx="3">
                  <c:v>30.0</c:v>
                </c:pt>
                <c:pt idx="4">
                  <c:v>33.0</c:v>
                </c:pt>
                <c:pt idx="5">
                  <c:v>35.0</c:v>
                </c:pt>
                <c:pt idx="6">
                  <c:v>37.5</c:v>
                </c:pt>
                <c:pt idx="7">
                  <c:v>39.5</c:v>
                </c:pt>
                <c:pt idx="8">
                  <c:v>42.0</c:v>
                </c:pt>
                <c:pt idx="9">
                  <c:v>44.0</c:v>
                </c:pt>
                <c:pt idx="10">
                  <c:v>46.0</c:v>
                </c:pt>
                <c:pt idx="11">
                  <c:v>48.0</c:v>
                </c:pt>
                <c:pt idx="12">
                  <c:v>49.5</c:v>
                </c:pt>
                <c:pt idx="13">
                  <c:v>51.0</c:v>
                </c:pt>
                <c:pt idx="14">
                  <c:v>53.0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'Y13 SWH 2013 3-9-13'!$M$4</c:f>
              <c:strCache>
                <c:ptCount val="1"/>
                <c:pt idx="0">
                  <c:v>Sam 4:1 Closed Loop water + glycol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3-9-13'!$M$5:$M$19</c:f>
              <c:numCache>
                <c:formatCode>0.0</c:formatCode>
                <c:ptCount val="15"/>
                <c:pt idx="0">
                  <c:v>13.0</c:v>
                </c:pt>
                <c:pt idx="1">
                  <c:v>13.2</c:v>
                </c:pt>
                <c:pt idx="2">
                  <c:v>15.0</c:v>
                </c:pt>
                <c:pt idx="3">
                  <c:v>19.0</c:v>
                </c:pt>
                <c:pt idx="4">
                  <c:v>22.0</c:v>
                </c:pt>
                <c:pt idx="5">
                  <c:v>26.0</c:v>
                </c:pt>
                <c:pt idx="6">
                  <c:v>30.0</c:v>
                </c:pt>
                <c:pt idx="7">
                  <c:v>33.0</c:v>
                </c:pt>
                <c:pt idx="8">
                  <c:v>36.0</c:v>
                </c:pt>
                <c:pt idx="9">
                  <c:v>39.0</c:v>
                </c:pt>
                <c:pt idx="10">
                  <c:v>41.0</c:v>
                </c:pt>
                <c:pt idx="11">
                  <c:v>43.0</c:v>
                </c:pt>
                <c:pt idx="12">
                  <c:v>45.0</c:v>
                </c:pt>
                <c:pt idx="13">
                  <c:v>46.0</c:v>
                </c:pt>
                <c:pt idx="14">
                  <c:v>47.5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083832"/>
        <c:axId val="2146089480"/>
      </c:lineChart>
      <c:lineChart>
        <c:grouping val="standard"/>
        <c:varyColors val="0"/>
        <c:ser>
          <c:idx val="10"/>
          <c:order val="10"/>
          <c:tx>
            <c:strRef>
              <c:f>'Y13 SWH 2013 3-9-13'!$N$4</c:f>
              <c:strCache>
                <c:ptCount val="1"/>
                <c:pt idx="0">
                  <c:v>Sam 4:1 Closed Loop water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3-9-13'!$N$5:$N$19</c:f>
              <c:numCache>
                <c:formatCode>0.0</c:formatCode>
                <c:ptCount val="15"/>
                <c:pt idx="0">
                  <c:v>13.0</c:v>
                </c:pt>
                <c:pt idx="1">
                  <c:v>13.2</c:v>
                </c:pt>
                <c:pt idx="2">
                  <c:v>15.0</c:v>
                </c:pt>
                <c:pt idx="3">
                  <c:v>19.0</c:v>
                </c:pt>
                <c:pt idx="4">
                  <c:v>22.0</c:v>
                </c:pt>
                <c:pt idx="5">
                  <c:v>26.0</c:v>
                </c:pt>
                <c:pt idx="6">
                  <c:v>30.0</c:v>
                </c:pt>
                <c:pt idx="7">
                  <c:v>33.0</c:v>
                </c:pt>
                <c:pt idx="8">
                  <c:v>36.0</c:v>
                </c:pt>
                <c:pt idx="9">
                  <c:v>39.0</c:v>
                </c:pt>
                <c:pt idx="10">
                  <c:v>41.0</c:v>
                </c:pt>
                <c:pt idx="11">
                  <c:v>43.0</c:v>
                </c:pt>
                <c:pt idx="12">
                  <c:v>45.0</c:v>
                </c:pt>
                <c:pt idx="13">
                  <c:v>46.0</c:v>
                </c:pt>
                <c:pt idx="14">
                  <c:v>47.5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'Y13 SWH 2013 3-9-13'!$O$4</c:f>
              <c:strCache>
                <c:ptCount val="1"/>
                <c:pt idx="0">
                  <c:v>IRRADIANCE (W/m²)</c:v>
                </c:pt>
              </c:strCache>
            </c:strRef>
          </c:tx>
          <c:cat>
            <c:numRef>
              <c:f>'Y13 SWH 2013 3-9-13'!$C$5:$C$19</c:f>
              <c:numCache>
                <c:formatCode>hh:mm</c:formatCode>
                <c:ptCount val="15"/>
                <c:pt idx="0">
                  <c:v>0.46875</c:v>
                </c:pt>
                <c:pt idx="1">
                  <c:v>0.472222222222222</c:v>
                </c:pt>
                <c:pt idx="2">
                  <c:v>0.475694444444444</c:v>
                </c:pt>
                <c:pt idx="3">
                  <c:v>0.479166666666667</c:v>
                </c:pt>
                <c:pt idx="4">
                  <c:v>0.482638888888889</c:v>
                </c:pt>
                <c:pt idx="5">
                  <c:v>0.486111111111111</c:v>
                </c:pt>
                <c:pt idx="6">
                  <c:v>0.489583333333334</c:v>
                </c:pt>
                <c:pt idx="7">
                  <c:v>0.493055555555556</c:v>
                </c:pt>
                <c:pt idx="8">
                  <c:v>0.496527777777778</c:v>
                </c:pt>
                <c:pt idx="9">
                  <c:v>0.5</c:v>
                </c:pt>
                <c:pt idx="10">
                  <c:v>0.503472222222223</c:v>
                </c:pt>
                <c:pt idx="11">
                  <c:v>0.506944444444445</c:v>
                </c:pt>
                <c:pt idx="12">
                  <c:v>0.510416666666667</c:v>
                </c:pt>
                <c:pt idx="13">
                  <c:v>0.51388888888889</c:v>
                </c:pt>
                <c:pt idx="14">
                  <c:v>0.517361111111112</c:v>
                </c:pt>
              </c:numCache>
            </c:numRef>
          </c:cat>
          <c:val>
            <c:numRef>
              <c:f>'Y13 SWH 2013 3-9-13'!$O$5:$O$19</c:f>
              <c:numCache>
                <c:formatCode>0</c:formatCode>
                <c:ptCount val="15"/>
                <c:pt idx="0">
                  <c:v>1050.0</c:v>
                </c:pt>
                <c:pt idx="1">
                  <c:v>1056.0</c:v>
                </c:pt>
                <c:pt idx="2">
                  <c:v>1069.0</c:v>
                </c:pt>
                <c:pt idx="3">
                  <c:v>1081.0</c:v>
                </c:pt>
                <c:pt idx="4">
                  <c:v>1078.0</c:v>
                </c:pt>
                <c:pt idx="5">
                  <c:v>1071.0</c:v>
                </c:pt>
                <c:pt idx="6">
                  <c:v>1062.0</c:v>
                </c:pt>
                <c:pt idx="7">
                  <c:v>1068.0</c:v>
                </c:pt>
                <c:pt idx="8">
                  <c:v>1075.0</c:v>
                </c:pt>
                <c:pt idx="9">
                  <c:v>1067.0</c:v>
                </c:pt>
                <c:pt idx="10">
                  <c:v>1066.0</c:v>
                </c:pt>
                <c:pt idx="11">
                  <c:v>1064.0</c:v>
                </c:pt>
                <c:pt idx="12">
                  <c:v>1060.0</c:v>
                </c:pt>
                <c:pt idx="13">
                  <c:v>1052.0</c:v>
                </c:pt>
                <c:pt idx="14">
                  <c:v>1047.0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100120"/>
        <c:axId val="2146094936"/>
      </c:lineChart>
      <c:catAx>
        <c:axId val="2146083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NZ" sz="1400"/>
                  <a:t>Time (hh:mm)</a:t>
                </a:r>
              </a:p>
            </c:rich>
          </c:tx>
          <c:layout>
            <c:manualLayout>
              <c:xMode val="edge"/>
              <c:yMode val="edge"/>
              <c:x val="0.369312110473561"/>
              <c:y val="0.950538495847365"/>
            </c:manualLayout>
          </c:layout>
          <c:overlay val="0"/>
        </c:title>
        <c:numFmt formatCode="hh:mm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46089480"/>
        <c:crosses val="autoZero"/>
        <c:auto val="1"/>
        <c:lblAlgn val="ctr"/>
        <c:lblOffset val="100"/>
        <c:noMultiLvlLbl val="0"/>
      </c:catAx>
      <c:valAx>
        <c:axId val="2146089480"/>
        <c:scaling>
          <c:orientation val="minMax"/>
          <c:max val="6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NZ" sz="1400"/>
                  <a:t>Temperature  (°C)</a:t>
                </a:r>
              </a:p>
            </c:rich>
          </c:tx>
          <c:layout>
            <c:manualLayout>
              <c:xMode val="edge"/>
              <c:yMode val="edge"/>
              <c:x val="0.0035669287437742"/>
              <c:y val="0.26828605183620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146083832"/>
        <c:crosses val="autoZero"/>
        <c:crossBetween val="between"/>
      </c:valAx>
      <c:valAx>
        <c:axId val="2146094936"/>
        <c:scaling>
          <c:orientation val="minMax"/>
          <c:max val="1500.0"/>
          <c:min val="1000.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 b="1"/>
                </a:pPr>
                <a:r>
                  <a:rPr lang="en-NZ" sz="1400" b="1"/>
                  <a:t>Irradiance (W/m²)</a:t>
                </a:r>
              </a:p>
            </c:rich>
          </c:tx>
          <c:layout>
            <c:manualLayout>
              <c:xMode val="edge"/>
              <c:yMode val="edge"/>
              <c:x val="0.808128083100603"/>
              <c:y val="0.32908380285222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146100120"/>
        <c:crosses val="max"/>
        <c:crossBetween val="between"/>
      </c:valAx>
      <c:catAx>
        <c:axId val="2146100120"/>
        <c:scaling>
          <c:orientation val="minMax"/>
        </c:scaling>
        <c:delete val="1"/>
        <c:axPos val="t"/>
        <c:numFmt formatCode="hh:mm" sourceLinked="1"/>
        <c:majorTickMark val="out"/>
        <c:minorTickMark val="none"/>
        <c:tickLblPos val="nextTo"/>
        <c:crossAx val="2146094936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34969943682202"/>
          <c:y val="0.0236510359004678"/>
          <c:w val="0.165030093457586"/>
          <c:h val="0.4100997611415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354330708661417" l="0.0" r="0.0" t="0.393700787401575" header="0.0" footer="0.3149606299212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84</xdr:row>
      <xdr:rowOff>19050</xdr:rowOff>
    </xdr:from>
    <xdr:to>
      <xdr:col>15</xdr:col>
      <xdr:colOff>457200</xdr:colOff>
      <xdr:row>100</xdr:row>
      <xdr:rowOff>0</xdr:rowOff>
    </xdr:to>
    <xdr:graphicFrame macro="">
      <xdr:nvGraphicFramePr>
        <xdr:cNvPr id="2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123825</xdr:rowOff>
    </xdr:from>
    <xdr:to>
      <xdr:col>5</xdr:col>
      <xdr:colOff>209550</xdr:colOff>
      <xdr:row>100</xdr:row>
      <xdr:rowOff>0</xdr:rowOff>
    </xdr:to>
    <xdr:graphicFrame macro="">
      <xdr:nvGraphicFramePr>
        <xdr:cNvPr id="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600075</xdr:colOff>
      <xdr:row>3</xdr:row>
      <xdr:rowOff>101844</xdr:rowOff>
    </xdr:from>
    <xdr:to>
      <xdr:col>48</xdr:col>
      <xdr:colOff>309196</xdr:colOff>
      <xdr:row>63</xdr:row>
      <xdr:rowOff>30773</xdr:rowOff>
    </xdr:to>
    <xdr:graphicFrame macro="">
      <xdr:nvGraphicFramePr>
        <xdr:cNvPr id="4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257175</xdr:colOff>
      <xdr:row>100</xdr:row>
      <xdr:rowOff>0</xdr:rowOff>
    </xdr:from>
    <xdr:to>
      <xdr:col>37</xdr:col>
      <xdr:colOff>133350</xdr:colOff>
      <xdr:row>114</xdr:row>
      <xdr:rowOff>9525</xdr:rowOff>
    </xdr:to>
    <xdr:graphicFrame macro="">
      <xdr:nvGraphicFramePr>
        <xdr:cNvPr id="5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378276</xdr:colOff>
      <xdr:row>14</xdr:row>
      <xdr:rowOff>119745</xdr:rowOff>
    </xdr:from>
    <xdr:to>
      <xdr:col>36</xdr:col>
      <xdr:colOff>508905</xdr:colOff>
      <xdr:row>53</xdr:row>
      <xdr:rowOff>78924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168"/>
  <sheetViews>
    <sheetView showGridLines="0" tabSelected="1" zoomScale="75" zoomScaleNormal="75" zoomScalePageLayoutView="75" workbookViewId="0">
      <pane ySplit="4" topLeftCell="A5" activePane="bottomLeft" state="frozen"/>
      <selection pane="bottomLeft" activeCell="S17" sqref="S17"/>
    </sheetView>
  </sheetViews>
  <sheetFormatPr baseColWidth="10" defaultColWidth="8.83203125" defaultRowHeight="12" x14ac:dyDescent="0"/>
  <cols>
    <col min="1" max="1" width="1.5" customWidth="1"/>
    <col min="2" max="2" width="30" customWidth="1"/>
    <col min="3" max="3" width="30.1640625" style="145" customWidth="1"/>
    <col min="4" max="4" width="11.6640625" customWidth="1"/>
    <col min="5" max="7" width="11.5" customWidth="1"/>
    <col min="8" max="8" width="12.1640625" customWidth="1"/>
    <col min="9" max="10" width="10.5" customWidth="1"/>
    <col min="11" max="12" width="10.83203125" customWidth="1"/>
    <col min="13" max="14" width="10.5" customWidth="1"/>
    <col min="15" max="15" width="13.5" customWidth="1"/>
    <col min="16" max="16" width="2.1640625" customWidth="1"/>
    <col min="17" max="17" width="8.5" customWidth="1"/>
    <col min="18" max="18" width="9.6640625" customWidth="1"/>
    <col min="19" max="19" width="8.5" customWidth="1"/>
    <col min="20" max="20" width="10.5" customWidth="1"/>
    <col min="24" max="24" width="9.5" bestFit="1" customWidth="1"/>
  </cols>
  <sheetData>
    <row r="1" spans="2:20" ht="32"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2:20" ht="6" customHeight="1" thickBot="1"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2:20" ht="33" thickBot="1">
      <c r="B3" s="5"/>
      <c r="C3" s="2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7"/>
      <c r="Q3" s="7"/>
      <c r="R3" s="7"/>
      <c r="S3" s="7"/>
      <c r="T3" s="8"/>
    </row>
    <row r="4" spans="2:20" s="16" customFormat="1" ht="60" customHeight="1" thickBot="1">
      <c r="B4" s="9"/>
      <c r="C4" s="10" t="s">
        <v>2</v>
      </c>
      <c r="D4" s="11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  <c r="O4" s="13" t="s">
        <v>14</v>
      </c>
      <c r="P4" s="14"/>
      <c r="Q4" s="14"/>
      <c r="R4" s="14"/>
      <c r="S4" s="14"/>
      <c r="T4" s="15"/>
    </row>
    <row r="5" spans="2:20">
      <c r="B5" s="17"/>
      <c r="C5" s="18">
        <v>0.46875</v>
      </c>
      <c r="D5" s="19">
        <v>14</v>
      </c>
      <c r="E5" s="19">
        <v>14</v>
      </c>
      <c r="F5" s="19">
        <v>14</v>
      </c>
      <c r="G5" s="19">
        <v>14</v>
      </c>
      <c r="H5" s="19">
        <v>13</v>
      </c>
      <c r="I5" s="19">
        <v>14</v>
      </c>
      <c r="J5" s="19">
        <v>15</v>
      </c>
      <c r="K5" s="19">
        <v>15</v>
      </c>
      <c r="L5" s="19">
        <v>13</v>
      </c>
      <c r="M5" s="19">
        <v>13</v>
      </c>
      <c r="N5" s="19">
        <v>13</v>
      </c>
      <c r="O5" s="20">
        <v>1050</v>
      </c>
      <c r="P5" s="7"/>
      <c r="Q5" s="7"/>
      <c r="R5" s="7"/>
      <c r="S5" s="7"/>
      <c r="T5" s="8"/>
    </row>
    <row r="6" spans="2:20">
      <c r="B6" s="21"/>
      <c r="C6" s="18">
        <v>0.47222222222222227</v>
      </c>
      <c r="D6" s="22">
        <v>19.8</v>
      </c>
      <c r="E6" s="22">
        <v>16</v>
      </c>
      <c r="F6" s="22">
        <v>25</v>
      </c>
      <c r="G6" s="22">
        <v>19</v>
      </c>
      <c r="H6" s="22">
        <v>22</v>
      </c>
      <c r="I6" s="22">
        <v>22</v>
      </c>
      <c r="J6" s="22">
        <v>22.5</v>
      </c>
      <c r="K6" s="22">
        <v>19</v>
      </c>
      <c r="L6" s="22">
        <v>16</v>
      </c>
      <c r="M6" s="22">
        <v>13.2</v>
      </c>
      <c r="N6" s="22">
        <v>13.2</v>
      </c>
      <c r="O6" s="23">
        <v>1056</v>
      </c>
      <c r="P6" s="7"/>
      <c r="Q6" s="7"/>
      <c r="R6" s="7"/>
      <c r="S6" s="7"/>
      <c r="T6" s="8"/>
    </row>
    <row r="7" spans="2:20">
      <c r="B7" s="21"/>
      <c r="C7" s="18">
        <v>0.47569444444444442</v>
      </c>
      <c r="D7" s="24">
        <v>24.8</v>
      </c>
      <c r="E7" s="24">
        <v>18.2</v>
      </c>
      <c r="F7" s="24">
        <v>28</v>
      </c>
      <c r="G7" s="24">
        <v>25.5</v>
      </c>
      <c r="H7" s="24">
        <v>27</v>
      </c>
      <c r="I7" s="24">
        <v>24</v>
      </c>
      <c r="J7" s="24">
        <v>27</v>
      </c>
      <c r="K7" s="24">
        <v>22.5</v>
      </c>
      <c r="L7" s="24">
        <v>19</v>
      </c>
      <c r="M7" s="24">
        <v>15</v>
      </c>
      <c r="N7" s="24">
        <v>15</v>
      </c>
      <c r="O7" s="25">
        <v>1069</v>
      </c>
      <c r="P7" s="7"/>
      <c r="Q7" s="7"/>
      <c r="R7" s="7"/>
      <c r="S7" s="7"/>
      <c r="T7" s="8"/>
    </row>
    <row r="8" spans="2:20">
      <c r="B8" s="21"/>
      <c r="C8" s="18">
        <v>0.47916666666666702</v>
      </c>
      <c r="D8" s="24">
        <v>27</v>
      </c>
      <c r="E8" s="24">
        <v>22</v>
      </c>
      <c r="F8" s="24">
        <v>32</v>
      </c>
      <c r="G8" s="24">
        <v>29.5</v>
      </c>
      <c r="H8" s="24">
        <v>30.5</v>
      </c>
      <c r="I8" s="24">
        <v>29.5</v>
      </c>
      <c r="J8" s="24">
        <v>30</v>
      </c>
      <c r="K8" s="24">
        <v>26.5</v>
      </c>
      <c r="L8" s="24">
        <v>22</v>
      </c>
      <c r="M8" s="24">
        <v>19</v>
      </c>
      <c r="N8" s="24">
        <v>19</v>
      </c>
      <c r="O8" s="25">
        <v>1081</v>
      </c>
      <c r="P8" s="7"/>
      <c r="Q8" s="7"/>
      <c r="R8" s="7"/>
      <c r="S8" s="7"/>
      <c r="T8" s="8"/>
    </row>
    <row r="9" spans="2:20">
      <c r="B9" s="21"/>
      <c r="C9" s="18">
        <v>0.48263888888888901</v>
      </c>
      <c r="D9" s="24">
        <v>29</v>
      </c>
      <c r="E9" s="24">
        <v>25</v>
      </c>
      <c r="F9" s="24">
        <v>34</v>
      </c>
      <c r="G9" s="24">
        <v>32</v>
      </c>
      <c r="H9" s="24">
        <v>32.5</v>
      </c>
      <c r="I9" s="24">
        <v>31.5</v>
      </c>
      <c r="J9" s="24">
        <v>33</v>
      </c>
      <c r="K9" s="24">
        <v>30</v>
      </c>
      <c r="L9" s="24">
        <v>25</v>
      </c>
      <c r="M9" s="24">
        <v>22</v>
      </c>
      <c r="N9" s="24">
        <v>22</v>
      </c>
      <c r="O9" s="25">
        <v>1078</v>
      </c>
      <c r="P9" s="7"/>
      <c r="Q9" s="7"/>
      <c r="R9" s="7"/>
      <c r="S9" s="7"/>
      <c r="T9" s="8"/>
    </row>
    <row r="10" spans="2:20">
      <c r="B10" s="21"/>
      <c r="C10" s="18">
        <v>0.48611111111111099</v>
      </c>
      <c r="D10" s="24">
        <v>30.5</v>
      </c>
      <c r="E10" s="24">
        <v>28.3</v>
      </c>
      <c r="F10" s="24">
        <v>37</v>
      </c>
      <c r="G10" s="24">
        <v>34.5</v>
      </c>
      <c r="H10" s="24">
        <v>35</v>
      </c>
      <c r="I10" s="24">
        <v>34</v>
      </c>
      <c r="J10" s="24">
        <v>35</v>
      </c>
      <c r="K10" s="24">
        <v>33</v>
      </c>
      <c r="L10" s="24">
        <v>27</v>
      </c>
      <c r="M10" s="24">
        <v>26</v>
      </c>
      <c r="N10" s="24">
        <v>26</v>
      </c>
      <c r="O10" s="25">
        <v>1071</v>
      </c>
      <c r="P10" s="7"/>
      <c r="Q10" s="7"/>
      <c r="R10" s="7"/>
      <c r="S10" s="7"/>
      <c r="T10" s="8"/>
    </row>
    <row r="11" spans="2:20">
      <c r="B11" s="21"/>
      <c r="C11" s="18">
        <v>0.48958333333333398</v>
      </c>
      <c r="D11" s="24">
        <v>32.299999999999997</v>
      </c>
      <c r="E11" s="24">
        <v>30.8</v>
      </c>
      <c r="F11" s="24">
        <v>40</v>
      </c>
      <c r="G11" s="24">
        <v>37</v>
      </c>
      <c r="H11" s="24">
        <v>37</v>
      </c>
      <c r="I11" s="24">
        <v>36</v>
      </c>
      <c r="J11" s="24">
        <v>37.5</v>
      </c>
      <c r="K11" s="24">
        <v>36</v>
      </c>
      <c r="L11" s="24">
        <v>30</v>
      </c>
      <c r="M11" s="24">
        <v>30</v>
      </c>
      <c r="N11" s="24">
        <v>30</v>
      </c>
      <c r="O11" s="25">
        <v>1062</v>
      </c>
      <c r="P11" s="7"/>
      <c r="Q11" s="7"/>
      <c r="R11" s="7"/>
      <c r="S11" s="7"/>
      <c r="T11" s="8"/>
    </row>
    <row r="12" spans="2:20">
      <c r="B12" s="21"/>
      <c r="C12" s="18">
        <v>0.49305555555555602</v>
      </c>
      <c r="D12" s="24">
        <v>34</v>
      </c>
      <c r="E12" s="24">
        <v>32.5</v>
      </c>
      <c r="F12" s="24">
        <v>43</v>
      </c>
      <c r="G12" s="24">
        <v>39</v>
      </c>
      <c r="H12" s="24">
        <v>39</v>
      </c>
      <c r="I12" s="24">
        <v>39</v>
      </c>
      <c r="J12" s="24">
        <v>39.5</v>
      </c>
      <c r="K12" s="24">
        <v>39</v>
      </c>
      <c r="L12" s="24">
        <v>32</v>
      </c>
      <c r="M12" s="24">
        <v>33</v>
      </c>
      <c r="N12" s="24">
        <v>33</v>
      </c>
      <c r="O12" s="25">
        <v>1068</v>
      </c>
      <c r="P12" s="7"/>
      <c r="Q12" s="7"/>
      <c r="R12" s="7"/>
      <c r="S12" s="7"/>
      <c r="T12" s="8"/>
    </row>
    <row r="13" spans="2:20">
      <c r="B13" s="21"/>
      <c r="C13" s="18">
        <v>0.49652777777777801</v>
      </c>
      <c r="D13" s="24">
        <v>35</v>
      </c>
      <c r="E13" s="24">
        <v>33.799999999999997</v>
      </c>
      <c r="F13" s="24">
        <v>45.5</v>
      </c>
      <c r="G13" s="24">
        <v>41</v>
      </c>
      <c r="H13" s="24">
        <v>41</v>
      </c>
      <c r="I13" s="24">
        <v>40.5</v>
      </c>
      <c r="J13" s="24">
        <v>42</v>
      </c>
      <c r="K13" s="24">
        <v>41.5</v>
      </c>
      <c r="L13" s="24">
        <v>34</v>
      </c>
      <c r="M13" s="24">
        <v>36</v>
      </c>
      <c r="N13" s="24">
        <v>36</v>
      </c>
      <c r="O13" s="25">
        <v>1075</v>
      </c>
      <c r="P13" s="7"/>
      <c r="Q13" s="7"/>
      <c r="R13" s="7"/>
      <c r="S13" s="7"/>
      <c r="T13" s="8"/>
    </row>
    <row r="14" spans="2:20">
      <c r="B14" s="21"/>
      <c r="C14" s="18">
        <v>0.5</v>
      </c>
      <c r="D14" s="24">
        <v>36.6</v>
      </c>
      <c r="E14" s="24">
        <v>35.5</v>
      </c>
      <c r="F14" s="24">
        <v>48</v>
      </c>
      <c r="G14" s="24">
        <v>44</v>
      </c>
      <c r="H14" s="24">
        <v>43</v>
      </c>
      <c r="I14" s="24">
        <v>43</v>
      </c>
      <c r="J14" s="24">
        <v>44</v>
      </c>
      <c r="K14" s="24">
        <v>44</v>
      </c>
      <c r="L14" s="24">
        <v>34.5</v>
      </c>
      <c r="M14" s="24">
        <v>39</v>
      </c>
      <c r="N14" s="24">
        <v>39</v>
      </c>
      <c r="O14" s="25">
        <v>1067</v>
      </c>
      <c r="P14" s="7"/>
      <c r="Q14" s="7"/>
      <c r="R14" s="7"/>
      <c r="S14" s="7"/>
      <c r="T14" s="8"/>
    </row>
    <row r="15" spans="2:20">
      <c r="B15" s="21"/>
      <c r="C15" s="18">
        <v>0.50347222222222299</v>
      </c>
      <c r="D15" s="24">
        <v>37.5</v>
      </c>
      <c r="E15" s="24">
        <v>37.299999999999997</v>
      </c>
      <c r="F15" s="24">
        <v>50</v>
      </c>
      <c r="G15" s="24">
        <v>46</v>
      </c>
      <c r="H15" s="24">
        <v>45</v>
      </c>
      <c r="I15" s="24">
        <v>45</v>
      </c>
      <c r="J15" s="24">
        <v>46</v>
      </c>
      <c r="K15" s="24">
        <v>47</v>
      </c>
      <c r="L15" s="24">
        <v>35</v>
      </c>
      <c r="M15" s="24">
        <v>41</v>
      </c>
      <c r="N15" s="24">
        <v>41</v>
      </c>
      <c r="O15" s="25">
        <v>1066</v>
      </c>
      <c r="P15" s="7"/>
      <c r="Q15" s="7"/>
      <c r="R15" s="7"/>
      <c r="S15" s="7"/>
      <c r="T15" s="8"/>
    </row>
    <row r="16" spans="2:20">
      <c r="B16" s="21"/>
      <c r="C16" s="18">
        <v>0.50694444444444497</v>
      </c>
      <c r="D16" s="24">
        <v>38</v>
      </c>
      <c r="E16" s="24">
        <v>38.200000000000003</v>
      </c>
      <c r="F16" s="24">
        <v>52</v>
      </c>
      <c r="G16" s="24">
        <v>48</v>
      </c>
      <c r="H16" s="24">
        <v>47</v>
      </c>
      <c r="I16" s="24">
        <v>46</v>
      </c>
      <c r="J16" s="24">
        <v>48</v>
      </c>
      <c r="K16" s="24">
        <v>49.5</v>
      </c>
      <c r="L16" s="24">
        <v>36</v>
      </c>
      <c r="M16" s="24">
        <v>43</v>
      </c>
      <c r="N16" s="24">
        <v>43</v>
      </c>
      <c r="O16" s="25">
        <v>1064</v>
      </c>
      <c r="P16" s="7"/>
      <c r="Q16" s="7"/>
      <c r="R16" s="7"/>
      <c r="S16" s="7"/>
      <c r="T16" s="8"/>
    </row>
    <row r="17" spans="2:25">
      <c r="B17" s="21"/>
      <c r="C17" s="18">
        <v>0.51041666666666696</v>
      </c>
      <c r="D17" s="24">
        <v>39.799999999999997</v>
      </c>
      <c r="E17" s="24">
        <v>40</v>
      </c>
      <c r="F17" s="24">
        <v>54</v>
      </c>
      <c r="G17" s="24">
        <v>49.8</v>
      </c>
      <c r="H17" s="24">
        <v>48</v>
      </c>
      <c r="I17" s="24">
        <v>48</v>
      </c>
      <c r="J17" s="24">
        <v>49.5</v>
      </c>
      <c r="K17" s="24">
        <v>52</v>
      </c>
      <c r="L17" s="24">
        <v>38</v>
      </c>
      <c r="M17" s="24">
        <v>45</v>
      </c>
      <c r="N17" s="24">
        <v>45</v>
      </c>
      <c r="O17" s="25">
        <v>1060</v>
      </c>
      <c r="P17" s="7"/>
      <c r="Q17" s="7"/>
      <c r="R17" s="7"/>
      <c r="S17" s="7"/>
      <c r="T17" s="8"/>
    </row>
    <row r="18" spans="2:25">
      <c r="B18" s="21"/>
      <c r="C18" s="18">
        <v>0.51388888888888995</v>
      </c>
      <c r="D18" s="24">
        <v>40.200000000000003</v>
      </c>
      <c r="E18" s="24">
        <v>41</v>
      </c>
      <c r="F18" s="24">
        <v>56</v>
      </c>
      <c r="G18" s="24">
        <v>51.2</v>
      </c>
      <c r="H18" s="24">
        <v>50</v>
      </c>
      <c r="I18" s="24">
        <v>50</v>
      </c>
      <c r="J18" s="24">
        <v>51</v>
      </c>
      <c r="K18" s="24">
        <v>54.5</v>
      </c>
      <c r="L18" s="24">
        <v>38.5</v>
      </c>
      <c r="M18" s="24">
        <v>46</v>
      </c>
      <c r="N18" s="24">
        <v>46</v>
      </c>
      <c r="O18" s="25">
        <v>1052</v>
      </c>
      <c r="P18" s="7"/>
      <c r="Q18" s="7"/>
      <c r="R18" s="7"/>
      <c r="S18" s="7"/>
      <c r="T18" s="8"/>
    </row>
    <row r="19" spans="2:25">
      <c r="B19" s="21"/>
      <c r="C19" s="18">
        <v>0.51736111111111205</v>
      </c>
      <c r="D19" s="24">
        <v>41</v>
      </c>
      <c r="E19" s="24">
        <v>43</v>
      </c>
      <c r="F19" s="24">
        <v>57.5</v>
      </c>
      <c r="G19" s="24">
        <v>53</v>
      </c>
      <c r="H19" s="24">
        <v>51</v>
      </c>
      <c r="I19" s="24">
        <v>51</v>
      </c>
      <c r="J19" s="24">
        <v>53</v>
      </c>
      <c r="K19" s="24">
        <v>56.5</v>
      </c>
      <c r="L19" s="24">
        <v>39.5</v>
      </c>
      <c r="M19" s="24">
        <v>47.5</v>
      </c>
      <c r="N19" s="24">
        <v>47.5</v>
      </c>
      <c r="O19" s="25">
        <v>1047</v>
      </c>
      <c r="P19" s="7"/>
      <c r="Q19" s="7"/>
      <c r="R19" s="7"/>
      <c r="S19" s="7"/>
      <c r="T19" s="8"/>
    </row>
    <row r="20" spans="2:25">
      <c r="B20" s="21"/>
      <c r="C20" s="18">
        <v>0.52083333333333404</v>
      </c>
      <c r="D20" s="26"/>
      <c r="E20" s="26"/>
      <c r="F20" s="26">
        <v>59</v>
      </c>
      <c r="G20" s="26">
        <v>54.5</v>
      </c>
      <c r="H20" s="26">
        <v>52.5</v>
      </c>
      <c r="I20" s="26">
        <v>53</v>
      </c>
      <c r="J20" s="26">
        <v>54</v>
      </c>
      <c r="K20" s="26">
        <v>59</v>
      </c>
      <c r="L20" s="26">
        <v>41</v>
      </c>
      <c r="M20" s="26">
        <v>49</v>
      </c>
      <c r="N20" s="26">
        <v>49</v>
      </c>
      <c r="O20" s="27"/>
      <c r="P20" s="7"/>
      <c r="Q20" s="28"/>
      <c r="R20" s="29" t="s">
        <v>15</v>
      </c>
      <c r="S20" s="7"/>
      <c r="T20" s="8"/>
    </row>
    <row r="21" spans="2:25">
      <c r="B21" s="21"/>
      <c r="C21" s="18">
        <v>0.52430555555555602</v>
      </c>
      <c r="D21" s="26"/>
      <c r="E21" s="26"/>
      <c r="F21" s="26">
        <v>60.5</v>
      </c>
      <c r="G21" s="26">
        <v>56</v>
      </c>
      <c r="H21" s="26">
        <v>53.5</v>
      </c>
      <c r="I21" s="26">
        <v>53.5</v>
      </c>
      <c r="J21" s="26">
        <v>55.5</v>
      </c>
      <c r="K21" s="26">
        <v>61</v>
      </c>
      <c r="L21" s="26">
        <v>44</v>
      </c>
      <c r="M21" s="26">
        <v>50</v>
      </c>
      <c r="N21" s="26">
        <v>50</v>
      </c>
      <c r="O21" s="27"/>
      <c r="P21" s="7"/>
      <c r="Q21" s="7"/>
      <c r="R21" s="29" t="s">
        <v>16</v>
      </c>
      <c r="S21" s="7"/>
      <c r="T21" s="8"/>
    </row>
    <row r="22" spans="2:25" ht="12.75" customHeight="1" thickBot="1">
      <c r="B22" s="21"/>
      <c r="C22" s="30">
        <v>0.52777777777777801</v>
      </c>
      <c r="D22" s="31"/>
      <c r="E22" s="31"/>
      <c r="F22" s="31">
        <v>62</v>
      </c>
      <c r="G22" s="31">
        <v>57.5</v>
      </c>
      <c r="H22" s="31">
        <v>55</v>
      </c>
      <c r="I22" s="31">
        <v>55</v>
      </c>
      <c r="J22" s="31">
        <v>56.5</v>
      </c>
      <c r="K22" s="31">
        <v>63</v>
      </c>
      <c r="L22" s="31">
        <v>46</v>
      </c>
      <c r="M22" s="31">
        <v>51</v>
      </c>
      <c r="N22" s="31">
        <v>51</v>
      </c>
      <c r="O22" s="32"/>
      <c r="P22" s="7"/>
      <c r="R22" s="7"/>
      <c r="S22" s="33"/>
      <c r="T22" s="8"/>
    </row>
    <row r="23" spans="2:25" ht="12" customHeight="1" thickBot="1">
      <c r="B23" s="21"/>
      <c r="C23" s="34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/>
    </row>
    <row r="24" spans="2:25" s="40" customFormat="1" ht="15" customHeight="1" thickBot="1">
      <c r="B24" s="35"/>
      <c r="C24" s="36" t="s">
        <v>17</v>
      </c>
      <c r="D24" s="37">
        <v>25</v>
      </c>
      <c r="E24" s="37">
        <v>31</v>
      </c>
      <c r="F24" s="37">
        <v>19</v>
      </c>
      <c r="G24" s="37">
        <v>16.8</v>
      </c>
      <c r="H24" s="37">
        <v>17</v>
      </c>
      <c r="I24" s="37">
        <v>17</v>
      </c>
      <c r="J24" s="37">
        <v>18.5</v>
      </c>
      <c r="K24" s="37">
        <v>44</v>
      </c>
      <c r="L24" s="37">
        <v>29</v>
      </c>
      <c r="M24" s="37">
        <v>23</v>
      </c>
      <c r="N24" s="37">
        <v>23</v>
      </c>
      <c r="O24" s="38"/>
      <c r="P24" s="39"/>
      <c r="Q24" s="216" t="s">
        <v>18</v>
      </c>
      <c r="R24" s="217"/>
      <c r="S24" s="217"/>
      <c r="T24" s="218"/>
    </row>
    <row r="25" spans="2:25" s="40" customFormat="1" ht="12.75" customHeight="1" thickBot="1">
      <c r="B25" s="35"/>
      <c r="O25" s="41"/>
      <c r="P25" s="39"/>
      <c r="Q25" s="42" t="s">
        <v>19</v>
      </c>
      <c r="R25" s="43" t="s">
        <v>20</v>
      </c>
      <c r="S25" s="44" t="s">
        <v>21</v>
      </c>
      <c r="T25" s="45" t="s">
        <v>22</v>
      </c>
    </row>
    <row r="26" spans="2:25" ht="14.25" customHeight="1">
      <c r="B26" s="219" t="s">
        <v>23</v>
      </c>
      <c r="C26" s="46" t="s">
        <v>24</v>
      </c>
      <c r="D26" s="47">
        <f t="shared" ref="D26:O26" si="0">MIN(D5:D19)</f>
        <v>14</v>
      </c>
      <c r="E26" s="47">
        <f t="shared" si="0"/>
        <v>14</v>
      </c>
      <c r="F26" s="47">
        <f t="shared" si="0"/>
        <v>14</v>
      </c>
      <c r="G26" s="47">
        <f>MIN(G5:G19)</f>
        <v>14</v>
      </c>
      <c r="H26" s="47">
        <f t="shared" si="0"/>
        <v>13</v>
      </c>
      <c r="I26" s="47">
        <f>MIN(I5:I19)</f>
        <v>14</v>
      </c>
      <c r="J26" s="47">
        <f>MIN(J5:J19)</f>
        <v>15</v>
      </c>
      <c r="K26" s="47">
        <f>MIN(K5:K19)</f>
        <v>15</v>
      </c>
      <c r="L26" s="47">
        <f>MIN(L5:L19)</f>
        <v>13</v>
      </c>
      <c r="M26" s="47">
        <f t="shared" ref="M26" si="1">MIN(M5:M19)</f>
        <v>13</v>
      </c>
      <c r="N26" s="47">
        <f t="shared" si="0"/>
        <v>13</v>
      </c>
      <c r="O26" s="47">
        <f t="shared" si="0"/>
        <v>1047</v>
      </c>
      <c r="P26" s="7"/>
      <c r="Q26" s="48">
        <f t="shared" ref="Q26:Q35" si="2">MIN(D26:N26)</f>
        <v>13</v>
      </c>
      <c r="R26" s="49">
        <f>MAX(D26:N26)</f>
        <v>15</v>
      </c>
      <c r="S26" s="49">
        <f>AVERAGE(D26:N26)</f>
        <v>13.818181818181818</v>
      </c>
      <c r="T26" s="50"/>
      <c r="V26" s="7"/>
      <c r="W26" s="7"/>
      <c r="X26" s="51"/>
      <c r="Y26" s="7"/>
    </row>
    <row r="27" spans="2:25">
      <c r="B27" s="220"/>
      <c r="C27" s="52" t="s">
        <v>25</v>
      </c>
      <c r="D27" s="37">
        <f t="shared" ref="D27:O27" si="3">MAX(D5:D19)</f>
        <v>41</v>
      </c>
      <c r="E27" s="37">
        <f t="shared" si="3"/>
        <v>43</v>
      </c>
      <c r="F27" s="37">
        <f t="shared" si="3"/>
        <v>57.5</v>
      </c>
      <c r="G27" s="37">
        <f>MAX(G5:G19)</f>
        <v>53</v>
      </c>
      <c r="H27" s="37">
        <f t="shared" si="3"/>
        <v>51</v>
      </c>
      <c r="I27" s="37">
        <f>MAX(I5:I19)</f>
        <v>51</v>
      </c>
      <c r="J27" s="37">
        <f>MAX(J5:J19)</f>
        <v>53</v>
      </c>
      <c r="K27" s="37">
        <f>MAX(K5:K19)</f>
        <v>56.5</v>
      </c>
      <c r="L27" s="37">
        <f>MAX(L5:L19)</f>
        <v>39.5</v>
      </c>
      <c r="M27" s="37">
        <f t="shared" ref="M27" si="4">MAX(M5:M19)</f>
        <v>47.5</v>
      </c>
      <c r="N27" s="37">
        <f t="shared" si="3"/>
        <v>47.5</v>
      </c>
      <c r="O27" s="37">
        <f t="shared" si="3"/>
        <v>1081</v>
      </c>
      <c r="P27" s="7"/>
      <c r="Q27" s="53">
        <f t="shared" si="2"/>
        <v>39.5</v>
      </c>
      <c r="R27" s="54">
        <f>MAX(D27:N27)</f>
        <v>57.5</v>
      </c>
      <c r="S27" s="54">
        <f>AVERAGE(D27:N27)</f>
        <v>49.136363636363633</v>
      </c>
      <c r="T27" s="55"/>
      <c r="V27" s="7"/>
      <c r="W27" s="7"/>
      <c r="X27" s="51"/>
      <c r="Y27" s="7"/>
    </row>
    <row r="28" spans="2:25" ht="14">
      <c r="B28" s="220"/>
      <c r="C28" s="56" t="s">
        <v>26</v>
      </c>
      <c r="D28" s="37">
        <f t="shared" ref="D28:O28" si="5">AVERAGE(D5:D19)</f>
        <v>31.966666666666665</v>
      </c>
      <c r="E28" s="37">
        <f t="shared" si="5"/>
        <v>30.373333333333335</v>
      </c>
      <c r="F28" s="37">
        <f t="shared" si="5"/>
        <v>41.06666666666667</v>
      </c>
      <c r="G28" s="37">
        <f>AVERAGE(G5:G19)</f>
        <v>37.56666666666667</v>
      </c>
      <c r="H28" s="37">
        <f t="shared" si="5"/>
        <v>37.4</v>
      </c>
      <c r="I28" s="37">
        <f>AVERAGE(I5:I19)</f>
        <v>36.9</v>
      </c>
      <c r="J28" s="37">
        <f>AVERAGE(J5:J19)</f>
        <v>38.200000000000003</v>
      </c>
      <c r="K28" s="37">
        <f>AVERAGE(K5:K19)</f>
        <v>37.733333333333334</v>
      </c>
      <c r="L28" s="37">
        <f>AVERAGE(L5:L19)</f>
        <v>29.3</v>
      </c>
      <c r="M28" s="37">
        <f t="shared" ref="M28" si="6">AVERAGE(M5:M19)</f>
        <v>31.246666666666666</v>
      </c>
      <c r="N28" s="37">
        <f t="shared" si="5"/>
        <v>31.246666666666666</v>
      </c>
      <c r="O28" s="37">
        <f t="shared" si="5"/>
        <v>1064.4000000000001</v>
      </c>
      <c r="P28" s="7"/>
      <c r="Q28" s="53">
        <f t="shared" si="2"/>
        <v>29.3</v>
      </c>
      <c r="R28" s="54">
        <f>MAX(D28:N28)</f>
        <v>41.06666666666667</v>
      </c>
      <c r="S28" s="54">
        <f>AVERAGE(D28:N28)</f>
        <v>34.81818181818182</v>
      </c>
      <c r="T28" s="55"/>
      <c r="V28" s="7"/>
      <c r="W28" s="7"/>
      <c r="X28" s="51"/>
      <c r="Y28" s="7"/>
    </row>
    <row r="29" spans="2:25">
      <c r="B29" s="220"/>
      <c r="C29" s="56" t="s">
        <v>27</v>
      </c>
      <c r="D29" s="37">
        <f t="shared" ref="D29:O29" si="7">D27-D26</f>
        <v>27</v>
      </c>
      <c r="E29" s="37">
        <f t="shared" si="7"/>
        <v>29</v>
      </c>
      <c r="F29" s="37">
        <f t="shared" si="7"/>
        <v>43.5</v>
      </c>
      <c r="G29" s="37">
        <f>G27-G26</f>
        <v>39</v>
      </c>
      <c r="H29" s="37">
        <f t="shared" si="7"/>
        <v>38</v>
      </c>
      <c r="I29" s="37">
        <f>I27-I26</f>
        <v>37</v>
      </c>
      <c r="J29" s="37">
        <f>J27-J26</f>
        <v>38</v>
      </c>
      <c r="K29" s="37">
        <f>K27-K26</f>
        <v>41.5</v>
      </c>
      <c r="L29" s="37">
        <f>L27-L26</f>
        <v>26.5</v>
      </c>
      <c r="M29" s="37">
        <f t="shared" ref="M29" si="8">M27-M26</f>
        <v>34.5</v>
      </c>
      <c r="N29" s="37">
        <f t="shared" si="7"/>
        <v>34.5</v>
      </c>
      <c r="O29" s="37">
        <f t="shared" si="7"/>
        <v>34</v>
      </c>
      <c r="P29" s="7"/>
      <c r="Q29" s="53">
        <f t="shared" si="2"/>
        <v>26.5</v>
      </c>
      <c r="R29" s="54">
        <f t="shared" ref="R29:R35" si="9">MAX(F29:O29)</f>
        <v>43.5</v>
      </c>
      <c r="S29" s="54">
        <f>AVERAGE(D29:N29)</f>
        <v>35.31818181818182</v>
      </c>
      <c r="T29" s="55"/>
      <c r="V29" s="7"/>
      <c r="W29" s="7"/>
      <c r="X29" s="51"/>
      <c r="Y29" s="7"/>
    </row>
    <row r="30" spans="2:25">
      <c r="B30" s="220"/>
      <c r="C30" s="52" t="s">
        <v>28</v>
      </c>
      <c r="D30" s="57">
        <f>70/60</f>
        <v>1.1666666666666667</v>
      </c>
      <c r="E30" s="57">
        <f t="shared" ref="E30:N30" si="10">70/60</f>
        <v>1.1666666666666667</v>
      </c>
      <c r="F30" s="57">
        <f t="shared" si="10"/>
        <v>1.1666666666666667</v>
      </c>
      <c r="G30" s="57">
        <f t="shared" si="10"/>
        <v>1.1666666666666667</v>
      </c>
      <c r="H30" s="57">
        <f t="shared" si="10"/>
        <v>1.1666666666666667</v>
      </c>
      <c r="I30" s="57">
        <f t="shared" si="10"/>
        <v>1.1666666666666667</v>
      </c>
      <c r="J30" s="57">
        <f t="shared" si="10"/>
        <v>1.1666666666666667</v>
      </c>
      <c r="K30" s="57">
        <f t="shared" si="10"/>
        <v>1.1666666666666667</v>
      </c>
      <c r="L30" s="57">
        <f t="shared" si="10"/>
        <v>1.1666666666666667</v>
      </c>
      <c r="M30" s="57">
        <f t="shared" si="10"/>
        <v>1.1666666666666667</v>
      </c>
      <c r="N30" s="57">
        <f t="shared" si="10"/>
        <v>1.1666666666666667</v>
      </c>
      <c r="O30" s="37">
        <v>1.17</v>
      </c>
      <c r="P30" s="7"/>
      <c r="Q30" s="53">
        <f t="shared" si="2"/>
        <v>1.1666666666666667</v>
      </c>
      <c r="R30" s="54">
        <f t="shared" si="9"/>
        <v>1.17</v>
      </c>
      <c r="S30" s="54">
        <f t="shared" ref="S30:S35" si="11">AVERAGE(D30:O30)</f>
        <v>1.1669444444444443</v>
      </c>
      <c r="T30" s="55"/>
      <c r="V30" s="7"/>
      <c r="W30" s="7"/>
      <c r="X30" s="51"/>
      <c r="Y30" s="7"/>
    </row>
    <row r="31" spans="2:25">
      <c r="B31" s="220"/>
      <c r="C31" s="58" t="s">
        <v>29</v>
      </c>
      <c r="D31" s="59">
        <v>574</v>
      </c>
      <c r="E31" s="60">
        <v>651</v>
      </c>
      <c r="F31" s="60">
        <v>605</v>
      </c>
      <c r="G31" s="60">
        <v>579</v>
      </c>
      <c r="H31" s="60">
        <v>578</v>
      </c>
      <c r="I31" s="60">
        <v>572</v>
      </c>
      <c r="J31" s="60">
        <v>558</v>
      </c>
      <c r="K31" s="60">
        <v>511</v>
      </c>
      <c r="L31" s="60">
        <v>558</v>
      </c>
      <c r="M31" s="60">
        <f>497+495</f>
        <v>992</v>
      </c>
      <c r="N31" s="60">
        <v>500</v>
      </c>
      <c r="O31" s="61"/>
      <c r="P31" s="7"/>
      <c r="Q31" s="53">
        <f t="shared" si="2"/>
        <v>500</v>
      </c>
      <c r="R31" s="54">
        <f t="shared" si="9"/>
        <v>992</v>
      </c>
      <c r="S31" s="54">
        <f t="shared" si="11"/>
        <v>607.09090909090912</v>
      </c>
      <c r="T31" s="62">
        <f>SUM(D31:N31)</f>
        <v>6678</v>
      </c>
      <c r="V31" s="7"/>
      <c r="W31" s="7"/>
      <c r="X31" s="51"/>
      <c r="Y31" s="7"/>
    </row>
    <row r="32" spans="2:25">
      <c r="B32" s="220"/>
      <c r="C32" s="58" t="s">
        <v>30</v>
      </c>
      <c r="D32" s="60">
        <f t="shared" ref="D32:N32" si="12">D31/1000</f>
        <v>0.57399999999999995</v>
      </c>
      <c r="E32" s="60">
        <f t="shared" si="12"/>
        <v>0.65100000000000002</v>
      </c>
      <c r="F32" s="60">
        <f t="shared" si="12"/>
        <v>0.60499999999999998</v>
      </c>
      <c r="G32" s="60">
        <f>G31/1000</f>
        <v>0.57899999999999996</v>
      </c>
      <c r="H32" s="60">
        <f t="shared" si="12"/>
        <v>0.57799999999999996</v>
      </c>
      <c r="I32" s="60">
        <f>I31/1000</f>
        <v>0.57199999999999995</v>
      </c>
      <c r="J32" s="60">
        <f>J31/1000</f>
        <v>0.55800000000000005</v>
      </c>
      <c r="K32" s="60">
        <f>K31/1000</f>
        <v>0.51100000000000001</v>
      </c>
      <c r="L32" s="60">
        <f>L31/1000</f>
        <v>0.55800000000000005</v>
      </c>
      <c r="M32" s="60">
        <f t="shared" ref="M32" si="13">M31/1000</f>
        <v>0.99199999999999999</v>
      </c>
      <c r="N32" s="60">
        <f t="shared" si="12"/>
        <v>0.5</v>
      </c>
      <c r="O32" s="63"/>
      <c r="P32" s="7"/>
      <c r="Q32" s="53">
        <f t="shared" si="2"/>
        <v>0.5</v>
      </c>
      <c r="R32" s="54">
        <f t="shared" si="9"/>
        <v>0.99199999999999999</v>
      </c>
      <c r="S32" s="54">
        <f t="shared" si="11"/>
        <v>0.60709090909090913</v>
      </c>
      <c r="T32" s="62">
        <f>SUM(D32:N32)</f>
        <v>6.6779999999999999</v>
      </c>
      <c r="V32" s="7"/>
      <c r="W32" s="7"/>
      <c r="X32" s="51"/>
      <c r="Y32" s="7"/>
    </row>
    <row r="33" spans="2:25">
      <c r="B33" s="220"/>
      <c r="C33" s="56" t="s">
        <v>31</v>
      </c>
      <c r="D33" s="37">
        <f t="shared" ref="D33:N33" si="14">D29*D31/1000</f>
        <v>15.497999999999999</v>
      </c>
      <c r="E33" s="37">
        <f t="shared" si="14"/>
        <v>18.879000000000001</v>
      </c>
      <c r="F33" s="37">
        <f t="shared" si="14"/>
        <v>26.317499999999999</v>
      </c>
      <c r="G33" s="37">
        <f>G29*G31/1000</f>
        <v>22.581</v>
      </c>
      <c r="H33" s="37">
        <f t="shared" si="14"/>
        <v>21.963999999999999</v>
      </c>
      <c r="I33" s="37">
        <f>I29*I31/1000</f>
        <v>21.164000000000001</v>
      </c>
      <c r="J33" s="37">
        <f>J29*J31/1000</f>
        <v>21.204000000000001</v>
      </c>
      <c r="K33" s="37">
        <f>K29*K31/1000</f>
        <v>21.206499999999998</v>
      </c>
      <c r="L33" s="37">
        <f>L29*L31/1000</f>
        <v>14.787000000000001</v>
      </c>
      <c r="M33" s="37">
        <f t="shared" ref="M33" si="15">M29*M31/1000</f>
        <v>34.223999999999997</v>
      </c>
      <c r="N33" s="37">
        <f t="shared" si="14"/>
        <v>17.25</v>
      </c>
      <c r="O33" s="64"/>
      <c r="P33" s="7"/>
      <c r="Q33" s="53">
        <f t="shared" si="2"/>
        <v>14.787000000000001</v>
      </c>
      <c r="R33" s="54">
        <f t="shared" si="9"/>
        <v>34.223999999999997</v>
      </c>
      <c r="S33" s="54">
        <f t="shared" si="11"/>
        <v>21.370454545454546</v>
      </c>
      <c r="T33" s="55"/>
      <c r="V33" s="7"/>
      <c r="W33" s="7"/>
      <c r="X33" s="51"/>
      <c r="Y33" s="7"/>
    </row>
    <row r="34" spans="2:25">
      <c r="B34" s="220"/>
      <c r="C34" s="56" t="s">
        <v>32</v>
      </c>
      <c r="D34" s="65">
        <v>0.04</v>
      </c>
      <c r="E34" s="65">
        <v>0.04</v>
      </c>
      <c r="F34" s="65">
        <v>4.4859999999999997E-2</v>
      </c>
      <c r="G34" s="65">
        <v>3.8785500000000001E-2</v>
      </c>
      <c r="H34" s="65">
        <v>3.8954999999999997E-2</v>
      </c>
      <c r="I34" s="65">
        <v>3.8061999999999999E-2</v>
      </c>
      <c r="J34" s="65">
        <v>3.8758000000000001E-2</v>
      </c>
      <c r="K34" s="65">
        <v>3.9455999999999998E-2</v>
      </c>
      <c r="L34" s="65">
        <v>4.0314124999999999E-2</v>
      </c>
      <c r="M34" s="65">
        <v>4.2293999999999998E-2</v>
      </c>
      <c r="N34" s="65">
        <v>4.2293999999999998E-2</v>
      </c>
      <c r="O34" s="66"/>
      <c r="P34" s="7"/>
      <c r="Q34" s="53">
        <f t="shared" si="2"/>
        <v>3.8061999999999999E-2</v>
      </c>
      <c r="R34" s="54">
        <f t="shared" si="9"/>
        <v>4.4859999999999997E-2</v>
      </c>
      <c r="S34" s="54">
        <f t="shared" si="11"/>
        <v>4.0343511363636363E-2</v>
      </c>
      <c r="T34" s="62">
        <f>SUM(D34:N34)</f>
        <v>0.44377862499999998</v>
      </c>
      <c r="V34" s="7"/>
      <c r="W34" s="7"/>
      <c r="X34" s="51"/>
      <c r="Y34" s="7"/>
    </row>
    <row r="35" spans="2:25">
      <c r="B35" s="220"/>
      <c r="C35" s="67" t="s">
        <v>33</v>
      </c>
      <c r="D35" s="68">
        <f>(1.163*D33)/D30</f>
        <v>15.449291999999998</v>
      </c>
      <c r="E35" s="68">
        <f t="shared" ref="E35:N35" si="16">(1.163*E33)/E30</f>
        <v>18.819666000000002</v>
      </c>
      <c r="F35" s="68">
        <f>(1.163*F33)/F30</f>
        <v>26.234787857142855</v>
      </c>
      <c r="G35" s="68">
        <f>(1.163*G33)/G30</f>
        <v>22.510031142857141</v>
      </c>
      <c r="H35" s="68">
        <f t="shared" si="16"/>
        <v>21.894970285714283</v>
      </c>
      <c r="I35" s="68">
        <f>(1.163*I33)/I30</f>
        <v>21.097484571428573</v>
      </c>
      <c r="J35" s="68">
        <f>(1.163*J33)/J30</f>
        <v>21.137358857142857</v>
      </c>
      <c r="K35" s="68">
        <f>(1.163*K33)/K30</f>
        <v>21.139850999999997</v>
      </c>
      <c r="L35" s="68">
        <f>(1.163*L33)/L30</f>
        <v>14.740526571428571</v>
      </c>
      <c r="M35" s="68">
        <f t="shared" ref="M35" si="17">(1.163*M33)/M30</f>
        <v>34.116438857142853</v>
      </c>
      <c r="N35" s="68">
        <f t="shared" si="16"/>
        <v>17.195785714285712</v>
      </c>
      <c r="O35" s="69"/>
      <c r="P35" s="7"/>
      <c r="Q35" s="53">
        <f t="shared" si="2"/>
        <v>14.740526571428571</v>
      </c>
      <c r="R35" s="54">
        <f t="shared" si="9"/>
        <v>34.116438857142853</v>
      </c>
      <c r="S35" s="54">
        <f t="shared" si="11"/>
        <v>21.303290259740255</v>
      </c>
      <c r="T35" s="62">
        <f>SUM(D35:N35)</f>
        <v>234.33619285714281</v>
      </c>
      <c r="V35" s="7"/>
      <c r="W35" s="7"/>
      <c r="X35" s="51"/>
      <c r="Y35" s="7"/>
    </row>
    <row r="36" spans="2:25" s="40" customFormat="1" ht="4.5" customHeight="1" thickBot="1">
      <c r="B36" s="220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69"/>
      <c r="P36" s="39"/>
      <c r="Q36" s="72"/>
      <c r="R36" s="73"/>
      <c r="S36" s="73"/>
      <c r="T36" s="62"/>
      <c r="V36" s="39"/>
      <c r="W36" s="39"/>
      <c r="X36" s="74"/>
      <c r="Y36" s="39"/>
    </row>
    <row r="37" spans="2:25" ht="13" thickBot="1">
      <c r="B37" s="220"/>
      <c r="C37" s="75" t="s">
        <v>34</v>
      </c>
      <c r="D37" s="76">
        <f t="shared" ref="D37:N37" si="18">D35*(0.04/D34)</f>
        <v>15.449291999999998</v>
      </c>
      <c r="E37" s="76">
        <f t="shared" si="18"/>
        <v>18.819666000000002</v>
      </c>
      <c r="F37" s="76">
        <f t="shared" si="18"/>
        <v>23.392588370167505</v>
      </c>
      <c r="G37" s="76">
        <f>G35*(0.04/G34)</f>
        <v>23.214893341952166</v>
      </c>
      <c r="H37" s="76">
        <f t="shared" si="18"/>
        <v>22.482320919742559</v>
      </c>
      <c r="I37" s="76">
        <f>I35*(0.04/I34)</f>
        <v>22.171703611400954</v>
      </c>
      <c r="J37" s="76">
        <f>J35*(0.04/J34)</f>
        <v>21.814705461729563</v>
      </c>
      <c r="K37" s="76">
        <f>K35*(0.04/K34)</f>
        <v>21.431316909975671</v>
      </c>
      <c r="L37" s="76">
        <f>L35*(0.04/L34)</f>
        <v>14.625669361722297</v>
      </c>
      <c r="M37" s="76">
        <f t="shared" ref="M37" si="19">M35*(0.04/M34)</f>
        <v>32.265984638145227</v>
      </c>
      <c r="N37" s="77">
        <f t="shared" si="18"/>
        <v>16.263097095839328</v>
      </c>
      <c r="O37" s="38"/>
      <c r="P37" s="7"/>
      <c r="Q37" s="53">
        <f>MIN(D37:N37)</f>
        <v>14.625669361722297</v>
      </c>
      <c r="R37" s="54">
        <f>MAX(F37:O37)</f>
        <v>32.265984638145227</v>
      </c>
      <c r="S37" s="54">
        <f>AVERAGE(D37:O37)</f>
        <v>21.084657973697748</v>
      </c>
      <c r="T37" s="62">
        <f>SUM(D37:N37)</f>
        <v>231.93123771067525</v>
      </c>
      <c r="V37" s="7"/>
      <c r="W37" s="7"/>
      <c r="X37" s="51"/>
      <c r="Y37" s="7"/>
    </row>
    <row r="38" spans="2:25" s="40" customFormat="1" ht="5.25" customHeight="1">
      <c r="B38" s="220"/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64"/>
      <c r="P38" s="39"/>
      <c r="Q38" s="72"/>
      <c r="R38" s="73"/>
      <c r="S38" s="73"/>
      <c r="T38" s="62"/>
      <c r="V38" s="39"/>
      <c r="W38" s="39"/>
      <c r="X38" s="74"/>
      <c r="Y38" s="39"/>
    </row>
    <row r="39" spans="2:25">
      <c r="B39" s="220"/>
      <c r="C39" s="56" t="s">
        <v>35</v>
      </c>
      <c r="D39" s="80">
        <f t="shared" ref="D39:N39" si="20">(1/0.04)*D37</f>
        <v>386.23229999999995</v>
      </c>
      <c r="E39" s="80">
        <f t="shared" si="20"/>
        <v>470.49165000000005</v>
      </c>
      <c r="F39" s="80">
        <f t="shared" si="20"/>
        <v>584.81470925418762</v>
      </c>
      <c r="G39" s="80">
        <f>(1/0.04)*G37</f>
        <v>580.37233354880414</v>
      </c>
      <c r="H39" s="80">
        <f t="shared" si="20"/>
        <v>562.05802299356401</v>
      </c>
      <c r="I39" s="80">
        <f>(1/0.04)*I37</f>
        <v>554.29259028502383</v>
      </c>
      <c r="J39" s="80">
        <f>(1/0.04)*J37</f>
        <v>545.36763654323909</v>
      </c>
      <c r="K39" s="80">
        <f>(1/0.04)*K37</f>
        <v>535.78292274939179</v>
      </c>
      <c r="L39" s="80">
        <f>(1/0.04)*L37</f>
        <v>365.6417340430574</v>
      </c>
      <c r="M39" s="80">
        <f>(1/0.04)*M37</f>
        <v>806.6496159536307</v>
      </c>
      <c r="N39" s="80">
        <f t="shared" si="20"/>
        <v>406.57742739598319</v>
      </c>
      <c r="O39" s="64"/>
      <c r="P39" s="7"/>
      <c r="Q39" s="53">
        <f>MIN(D39:N39)</f>
        <v>365.6417340430574</v>
      </c>
      <c r="R39" s="54">
        <f>MAX(F39:O39)</f>
        <v>806.6496159536307</v>
      </c>
      <c r="S39" s="54">
        <f>AVERAGE(D39:O39)</f>
        <v>527.11644934244384</v>
      </c>
      <c r="T39" s="62">
        <f>SUM(D39:N39)</f>
        <v>5798.2809427668826</v>
      </c>
      <c r="V39" s="7"/>
      <c r="W39" s="7"/>
      <c r="X39" s="51"/>
      <c r="Y39" s="7"/>
    </row>
    <row r="40" spans="2:25">
      <c r="B40" s="220"/>
      <c r="C40" s="56" t="s">
        <v>36</v>
      </c>
      <c r="D40" s="80">
        <f t="shared" ref="D40:N40" si="21">$O$28</f>
        <v>1064.4000000000001</v>
      </c>
      <c r="E40" s="80">
        <f t="shared" si="21"/>
        <v>1064.4000000000001</v>
      </c>
      <c r="F40" s="80">
        <f t="shared" si="21"/>
        <v>1064.4000000000001</v>
      </c>
      <c r="G40" s="80">
        <f t="shared" si="21"/>
        <v>1064.4000000000001</v>
      </c>
      <c r="H40" s="80">
        <f t="shared" si="21"/>
        <v>1064.4000000000001</v>
      </c>
      <c r="I40" s="80">
        <f t="shared" si="21"/>
        <v>1064.4000000000001</v>
      </c>
      <c r="J40" s="80">
        <f t="shared" si="21"/>
        <v>1064.4000000000001</v>
      </c>
      <c r="K40" s="80">
        <f t="shared" si="21"/>
        <v>1064.4000000000001</v>
      </c>
      <c r="L40" s="80">
        <f t="shared" si="21"/>
        <v>1064.4000000000001</v>
      </c>
      <c r="M40" s="80">
        <f t="shared" si="21"/>
        <v>1064.4000000000001</v>
      </c>
      <c r="N40" s="80">
        <f t="shared" si="21"/>
        <v>1064.4000000000001</v>
      </c>
      <c r="O40" s="64"/>
      <c r="P40" s="7"/>
      <c r="Q40" s="53">
        <f>MIN(D40:N40)</f>
        <v>1064.4000000000001</v>
      </c>
      <c r="R40" s="54">
        <f>MAX(F40:O40)</f>
        <v>1064.4000000000001</v>
      </c>
      <c r="S40" s="54">
        <f>AVERAGE(D40:O40)</f>
        <v>1064.3999999999999</v>
      </c>
      <c r="T40" s="81"/>
      <c r="V40" s="7"/>
      <c r="W40" s="7"/>
      <c r="X40" s="51"/>
      <c r="Y40" s="7"/>
    </row>
    <row r="41" spans="2:25" s="40" customFormat="1" ht="3.75" customHeight="1" thickBot="1">
      <c r="B41" s="220"/>
      <c r="C41" s="82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64"/>
      <c r="P41" s="39"/>
      <c r="Q41" s="72"/>
      <c r="R41" s="73"/>
      <c r="S41" s="73"/>
      <c r="T41" s="62"/>
      <c r="V41" s="39"/>
      <c r="W41" s="39"/>
      <c r="X41" s="74"/>
      <c r="Y41" s="39"/>
    </row>
    <row r="42" spans="2:25" ht="13" thickBot="1">
      <c r="B42" s="221"/>
      <c r="C42" s="75" t="s">
        <v>37</v>
      </c>
      <c r="D42" s="76">
        <f>D39/D40*100</f>
        <v>36.286386696730546</v>
      </c>
      <c r="E42" s="76">
        <f t="shared" ref="E42:N42" si="22">E39/E40*100</f>
        <v>44.20252254791432</v>
      </c>
      <c r="F42" s="76">
        <f t="shared" si="22"/>
        <v>54.94313315052495</v>
      </c>
      <c r="G42" s="76">
        <f>G39/G40*100</f>
        <v>54.525773538970704</v>
      </c>
      <c r="H42" s="76">
        <f t="shared" si="22"/>
        <v>52.805150600673059</v>
      </c>
      <c r="I42" s="76">
        <f>I39/I40*100</f>
        <v>52.075590970032302</v>
      </c>
      <c r="J42" s="76">
        <f>J39/J40*100</f>
        <v>51.237094752277244</v>
      </c>
      <c r="K42" s="76">
        <f>K39/K40*100</f>
        <v>50.336614313170969</v>
      </c>
      <c r="L42" s="76">
        <f>L39/L40*100</f>
        <v>34.351910376085812</v>
      </c>
      <c r="M42" s="76">
        <f t="shared" ref="M42" si="23">M39/M40*100</f>
        <v>75.784443437958544</v>
      </c>
      <c r="N42" s="77">
        <f t="shared" si="22"/>
        <v>38.197804152196838</v>
      </c>
      <c r="O42" s="38"/>
      <c r="P42" s="7"/>
      <c r="Q42" s="84">
        <f>MIN(D42:N42)</f>
        <v>34.351910376085812</v>
      </c>
      <c r="R42" s="85">
        <f>MAX(D42:N42)</f>
        <v>75.784443437958544</v>
      </c>
      <c r="S42" s="85">
        <f>AVERAGE(D42:O42)</f>
        <v>49.522402230594118</v>
      </c>
      <c r="T42" s="86"/>
      <c r="V42" s="7"/>
      <c r="W42" s="7"/>
      <c r="X42" s="51"/>
      <c r="Y42" s="7"/>
    </row>
    <row r="43" spans="2:25" ht="13" thickBot="1">
      <c r="B43" s="87"/>
      <c r="C43" s="88"/>
      <c r="D43" s="89"/>
      <c r="E43" s="38"/>
      <c r="F43" s="90" t="s">
        <v>38</v>
      </c>
      <c r="G43" s="90" t="s">
        <v>38</v>
      </c>
      <c r="H43" s="89"/>
      <c r="I43" s="89"/>
      <c r="J43" s="89"/>
      <c r="K43" s="89"/>
      <c r="L43" s="38"/>
      <c r="M43" s="89"/>
      <c r="N43" s="89"/>
      <c r="O43" s="38"/>
      <c r="P43" s="39"/>
      <c r="Q43" s="91"/>
      <c r="R43" s="91"/>
      <c r="S43" s="91"/>
      <c r="T43" s="92"/>
      <c r="V43" s="7"/>
      <c r="W43" s="7"/>
      <c r="X43" s="51"/>
      <c r="Y43" s="7"/>
    </row>
    <row r="44" spans="2:25">
      <c r="B44" s="87"/>
      <c r="C44" s="93" t="s">
        <v>39</v>
      </c>
      <c r="D44" s="94"/>
      <c r="E44" s="94"/>
      <c r="F44" s="95">
        <v>2</v>
      </c>
      <c r="G44" s="95">
        <v>3</v>
      </c>
      <c r="H44" s="95">
        <v>4</v>
      </c>
      <c r="I44" s="95">
        <v>5</v>
      </c>
      <c r="J44" s="95">
        <v>6</v>
      </c>
      <c r="K44" s="95">
        <v>7</v>
      </c>
      <c r="L44" s="95">
        <v>8</v>
      </c>
      <c r="M44" s="95">
        <v>1</v>
      </c>
      <c r="N44" s="96"/>
      <c r="O44" s="38"/>
      <c r="P44" s="39"/>
      <c r="Q44" s="91"/>
      <c r="R44" s="91"/>
      <c r="S44" s="91"/>
      <c r="T44" s="92"/>
      <c r="V44" s="7"/>
      <c r="W44" s="7"/>
      <c r="X44" s="51"/>
      <c r="Y44" s="7"/>
    </row>
    <row r="45" spans="2:25" ht="13" thickBot="1">
      <c r="B45" s="87"/>
      <c r="C45" s="97" t="s">
        <v>40</v>
      </c>
      <c r="D45" s="98"/>
      <c r="E45" s="98"/>
      <c r="F45" s="99">
        <v>1</v>
      </c>
      <c r="G45" s="99">
        <v>2</v>
      </c>
      <c r="H45" s="99">
        <v>3</v>
      </c>
      <c r="I45" s="99">
        <v>4</v>
      </c>
      <c r="J45" s="99">
        <v>5</v>
      </c>
      <c r="K45" s="99">
        <v>6</v>
      </c>
      <c r="L45" s="99">
        <v>7</v>
      </c>
      <c r="M45" s="98"/>
      <c r="N45" s="100"/>
      <c r="O45" s="38"/>
      <c r="P45" s="39"/>
      <c r="Q45" s="91"/>
      <c r="R45" s="91"/>
      <c r="S45" s="91"/>
      <c r="T45" s="92"/>
      <c r="V45" s="7"/>
      <c r="W45" s="7"/>
      <c r="X45" s="51"/>
      <c r="Y45" s="7"/>
    </row>
    <row r="46" spans="2:25">
      <c r="B46" s="21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41"/>
      <c r="P46" s="39"/>
      <c r="Q46" s="41"/>
      <c r="R46" s="41"/>
      <c r="S46" s="41"/>
      <c r="T46" s="103"/>
      <c r="V46" s="7"/>
      <c r="W46" s="7"/>
      <c r="X46" s="51"/>
      <c r="Y46" s="7"/>
    </row>
    <row r="47" spans="2:25">
      <c r="B47" s="104"/>
      <c r="C47" s="101"/>
      <c r="D47" s="105" t="s">
        <v>41</v>
      </c>
      <c r="E47" s="106" t="s">
        <v>42</v>
      </c>
      <c r="F47" s="106" t="s">
        <v>43</v>
      </c>
      <c r="G47" s="106" t="s">
        <v>44</v>
      </c>
      <c r="H47" s="102"/>
      <c r="I47" s="102"/>
      <c r="J47" s="102"/>
      <c r="K47" s="102"/>
      <c r="P47" s="7"/>
      <c r="Q47" s="41"/>
      <c r="R47" s="41"/>
      <c r="S47" s="41"/>
      <c r="T47" s="103"/>
      <c r="V47" s="7"/>
      <c r="W47" s="7"/>
      <c r="X47" s="51"/>
      <c r="Y47" s="7"/>
    </row>
    <row r="48" spans="2:25">
      <c r="B48" s="21"/>
      <c r="C48" s="101"/>
      <c r="D48" s="107">
        <v>1</v>
      </c>
      <c r="E48" s="107">
        <v>1</v>
      </c>
      <c r="F48" s="107">
        <v>1</v>
      </c>
      <c r="G48" s="107">
        <v>1</v>
      </c>
      <c r="H48" s="108" t="s">
        <v>45</v>
      </c>
      <c r="I48" s="108" t="s">
        <v>45</v>
      </c>
      <c r="J48" s="102"/>
      <c r="K48" s="102"/>
      <c r="P48" s="7"/>
      <c r="Q48" s="41"/>
      <c r="R48" s="41"/>
      <c r="S48" s="41"/>
      <c r="T48" s="103"/>
      <c r="V48" s="7"/>
      <c r="W48" s="7"/>
      <c r="X48" s="51"/>
      <c r="Y48" s="7"/>
    </row>
    <row r="49" spans="2:25" ht="13" thickBot="1">
      <c r="B49" s="21"/>
      <c r="C49" s="8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8"/>
      <c r="V49" s="7"/>
      <c r="W49" s="7"/>
      <c r="X49" s="109"/>
      <c r="Y49" s="7"/>
    </row>
    <row r="50" spans="2:25">
      <c r="B50" s="110" t="s">
        <v>46</v>
      </c>
      <c r="C50" s="46" t="s">
        <v>47</v>
      </c>
      <c r="D50" s="111">
        <v>65.264692984848509</v>
      </c>
      <c r="E50" s="112">
        <v>71.2916009848485</v>
      </c>
      <c r="F50" s="113"/>
      <c r="G50" s="113">
        <v>99</v>
      </c>
      <c r="H50" s="113">
        <v>60.87</v>
      </c>
      <c r="I50" s="113">
        <v>65</v>
      </c>
      <c r="J50" s="113">
        <v>99</v>
      </c>
      <c r="K50" s="113">
        <v>119.63</v>
      </c>
      <c r="L50" s="114">
        <v>49.045074999999997</v>
      </c>
      <c r="M50" s="113"/>
      <c r="N50" s="113"/>
      <c r="O50" s="115"/>
      <c r="P50" s="7"/>
      <c r="Q50" s="48">
        <f>MIN(D50:N50)</f>
        <v>49.045074999999997</v>
      </c>
      <c r="R50" s="116">
        <f>MAX(D50:N50)</f>
        <v>119.63</v>
      </c>
      <c r="S50" s="116">
        <f>AVERAGE(D50:N50)</f>
        <v>78.637671121212122</v>
      </c>
      <c r="T50" s="117">
        <f>SUM(D50:N50)</f>
        <v>629.10136896969698</v>
      </c>
      <c r="X50" s="118"/>
    </row>
    <row r="51" spans="2:25">
      <c r="B51" s="21"/>
      <c r="C51" s="52" t="s">
        <v>48</v>
      </c>
      <c r="D51" s="119">
        <v>36.799287833333338</v>
      </c>
      <c r="E51" s="119">
        <v>42.82619583333333</v>
      </c>
      <c r="F51" s="60"/>
      <c r="G51" s="60">
        <v>76.400000000000006</v>
      </c>
      <c r="H51" s="60">
        <v>41.8</v>
      </c>
      <c r="I51" s="120">
        <v>50.9</v>
      </c>
      <c r="J51" s="60">
        <v>71.8</v>
      </c>
      <c r="K51" s="60">
        <v>88.93</v>
      </c>
      <c r="L51" s="120">
        <v>40.134999999999998</v>
      </c>
      <c r="M51" s="60">
        <v>38.04</v>
      </c>
      <c r="N51" s="60">
        <v>38.04</v>
      </c>
      <c r="O51" s="121"/>
      <c r="P51" s="7"/>
      <c r="Q51" s="53">
        <f>MIN(D51:N51)</f>
        <v>36.799287833333338</v>
      </c>
      <c r="R51" s="122">
        <f>MAX(D51:N51)</f>
        <v>88.93</v>
      </c>
      <c r="S51" s="122">
        <f>AVERAGE(D51:N51)</f>
        <v>52.567048366666668</v>
      </c>
      <c r="T51" s="123">
        <f>SUM(D51:N51)</f>
        <v>525.67048366666666</v>
      </c>
      <c r="X51" s="124"/>
    </row>
    <row r="52" spans="2:25" ht="13" thickBot="1">
      <c r="B52" s="21"/>
      <c r="C52" s="125" t="s">
        <v>49</v>
      </c>
      <c r="D52" s="126">
        <f t="shared" ref="D52:N52" si="24">D51/D37</f>
        <v>2.3819400807061801</v>
      </c>
      <c r="E52" s="126">
        <f t="shared" si="24"/>
        <v>2.2756087081106182</v>
      </c>
      <c r="F52" s="126">
        <f t="shared" si="24"/>
        <v>0</v>
      </c>
      <c r="G52" s="126">
        <f>G51/G37</f>
        <v>3.2909907822809514</v>
      </c>
      <c r="H52" s="126">
        <f t="shared" si="24"/>
        <v>1.8592386501917544</v>
      </c>
      <c r="I52" s="126">
        <f>I51/I37</f>
        <v>2.2957189439347645</v>
      </c>
      <c r="J52" s="126">
        <f>J51/J37</f>
        <v>3.2913577552519193</v>
      </c>
      <c r="K52" s="126">
        <f>K51/K37</f>
        <v>4.1495350180093515</v>
      </c>
      <c r="L52" s="126">
        <f>L51/L37</f>
        <v>2.7441479092259309</v>
      </c>
      <c r="M52" s="126">
        <f t="shared" ref="M52" si="25">M51/M37</f>
        <v>1.1789505396041335</v>
      </c>
      <c r="N52" s="126">
        <f t="shared" si="24"/>
        <v>2.3390378705746011</v>
      </c>
      <c r="O52" s="127"/>
      <c r="P52" s="7"/>
      <c r="Q52" s="128">
        <f>MIN(D52:N52)</f>
        <v>0</v>
      </c>
      <c r="R52" s="129">
        <f>MAX(D52:N52)</f>
        <v>4.1495350180093515</v>
      </c>
      <c r="S52" s="129">
        <f>AVERAGE(D52:N52)</f>
        <v>2.3460478416263824</v>
      </c>
      <c r="T52" s="55"/>
    </row>
    <row r="53" spans="2:25" ht="19.5" customHeight="1" thickBot="1">
      <c r="B53" s="21"/>
      <c r="C53" s="130" t="s">
        <v>50</v>
      </c>
      <c r="D53" s="131">
        <f t="shared" ref="D53:N53" si="26">D51*50</f>
        <v>1839.9643916666669</v>
      </c>
      <c r="E53" s="131">
        <f t="shared" si="26"/>
        <v>2141.3097916666666</v>
      </c>
      <c r="F53" s="131">
        <f t="shared" si="26"/>
        <v>0</v>
      </c>
      <c r="G53" s="131">
        <f>G51*50</f>
        <v>3820.0000000000005</v>
      </c>
      <c r="H53" s="131">
        <f t="shared" si="26"/>
        <v>2090</v>
      </c>
      <c r="I53" s="131">
        <f>I51*50</f>
        <v>2545</v>
      </c>
      <c r="J53" s="131">
        <f>J51*50</f>
        <v>3590</v>
      </c>
      <c r="K53" s="131">
        <f>K51*50</f>
        <v>4446.5</v>
      </c>
      <c r="L53" s="132">
        <f>L51*50</f>
        <v>2006.75</v>
      </c>
      <c r="M53" s="131">
        <f t="shared" ref="M53" si="27">M51*50</f>
        <v>1902</v>
      </c>
      <c r="N53" s="131">
        <f t="shared" si="26"/>
        <v>1902</v>
      </c>
      <c r="O53" s="133"/>
      <c r="P53" s="7"/>
      <c r="Q53" s="84">
        <f>MIN(D53:N53)</f>
        <v>0</v>
      </c>
      <c r="R53" s="134">
        <f>MAX(D53:N53)</f>
        <v>4446.5</v>
      </c>
      <c r="S53" s="134">
        <f>AVERAGE(D53:N53)</f>
        <v>2389.4112893939396</v>
      </c>
      <c r="T53" s="135">
        <f>SUM(D53:N53)</f>
        <v>26283.524183333335</v>
      </c>
    </row>
    <row r="54" spans="2:25" ht="13" thickBot="1">
      <c r="B54" s="136"/>
      <c r="C54" s="101"/>
      <c r="D54" s="137"/>
      <c r="E54" s="137"/>
      <c r="F54" s="137"/>
      <c r="G54" s="137"/>
      <c r="H54" s="137"/>
      <c r="I54" s="138"/>
      <c r="J54" s="137"/>
      <c r="K54" s="137"/>
      <c r="L54" s="139"/>
      <c r="M54" s="137"/>
      <c r="N54" s="137"/>
      <c r="O54" s="137"/>
      <c r="P54" s="7"/>
      <c r="Q54" s="38"/>
      <c r="R54" s="140"/>
      <c r="S54" s="140"/>
      <c r="T54" s="141"/>
    </row>
    <row r="55" spans="2:25">
      <c r="B55" s="136"/>
      <c r="C55" s="93" t="s">
        <v>51</v>
      </c>
      <c r="D55" s="94"/>
      <c r="E55" s="94"/>
      <c r="F55" s="95"/>
      <c r="G55" s="95">
        <v>2</v>
      </c>
      <c r="H55" s="95"/>
      <c r="I55" s="95">
        <v>1</v>
      </c>
      <c r="J55" s="95">
        <v>2</v>
      </c>
      <c r="K55" s="95">
        <v>3</v>
      </c>
      <c r="L55" s="95"/>
      <c r="M55" s="95"/>
      <c r="N55" s="96"/>
      <c r="O55" s="137"/>
      <c r="P55" s="7"/>
      <c r="Q55" s="38"/>
      <c r="R55" s="140"/>
      <c r="S55" s="140"/>
      <c r="T55" s="141"/>
    </row>
    <row r="56" spans="2:25" ht="17.25" customHeight="1" thickBot="1">
      <c r="B56" s="136"/>
      <c r="C56" s="142" t="s">
        <v>52</v>
      </c>
      <c r="D56" s="98"/>
      <c r="E56" s="98"/>
      <c r="F56" s="99"/>
      <c r="G56" s="99">
        <v>3</v>
      </c>
      <c r="H56" s="99"/>
      <c r="I56" s="99">
        <v>1</v>
      </c>
      <c r="J56" s="99">
        <v>2</v>
      </c>
      <c r="K56" s="99">
        <v>4</v>
      </c>
      <c r="L56" s="99"/>
      <c r="M56" s="99"/>
      <c r="N56" s="143"/>
      <c r="O56" s="137"/>
      <c r="P56" s="7"/>
      <c r="Q56" s="38"/>
      <c r="R56" s="140"/>
      <c r="S56" s="140"/>
      <c r="T56" s="141"/>
    </row>
    <row r="57" spans="2:25" ht="13" thickBot="1">
      <c r="B57" s="136"/>
      <c r="C57" s="101"/>
      <c r="D57" s="137"/>
      <c r="E57" s="137"/>
      <c r="F57" s="137"/>
      <c r="G57" s="137"/>
      <c r="H57" s="137"/>
      <c r="I57" s="137"/>
      <c r="J57" s="144"/>
      <c r="K57" s="137"/>
      <c r="L57" s="137"/>
      <c r="M57" s="137"/>
      <c r="N57" s="137"/>
      <c r="O57" s="137"/>
      <c r="P57" s="7"/>
      <c r="Q57" s="38"/>
      <c r="R57" s="140"/>
      <c r="S57" s="140"/>
      <c r="T57" s="141"/>
    </row>
    <row r="58" spans="2:25" ht="13" thickBot="1">
      <c r="D58" s="7"/>
      <c r="E58" s="7"/>
      <c r="F58" s="7"/>
      <c r="G58" s="7"/>
      <c r="H58" s="146"/>
      <c r="I58" s="147" t="s">
        <v>53</v>
      </c>
      <c r="J58" s="148">
        <f>900/1200</f>
        <v>0.75</v>
      </c>
      <c r="K58" s="7"/>
      <c r="L58" s="7"/>
      <c r="M58" s="7"/>
      <c r="N58" s="7"/>
      <c r="O58" s="7"/>
      <c r="P58" s="7"/>
      <c r="Q58" s="7"/>
      <c r="R58" s="7"/>
      <c r="S58" s="7"/>
      <c r="T58" s="8"/>
    </row>
    <row r="59" spans="2:25">
      <c r="D59" s="7"/>
      <c r="E59" s="7"/>
      <c r="F59" s="7"/>
      <c r="G59" s="7"/>
      <c r="H59" s="146"/>
      <c r="I59" s="149"/>
      <c r="J59" s="150"/>
      <c r="K59" s="7"/>
      <c r="L59" s="7"/>
      <c r="M59" s="7"/>
      <c r="N59" s="7"/>
      <c r="O59" s="7"/>
      <c r="P59" s="7"/>
      <c r="Q59" s="7"/>
      <c r="R59" s="7"/>
      <c r="S59" s="7"/>
      <c r="T59" s="8"/>
    </row>
    <row r="60" spans="2:25">
      <c r="D60" s="7"/>
      <c r="E60" s="7"/>
      <c r="F60" s="7"/>
      <c r="G60" s="7"/>
      <c r="H60" s="146"/>
      <c r="I60" s="149"/>
      <c r="P60" s="7"/>
      <c r="Q60" s="7"/>
      <c r="R60" s="7"/>
      <c r="S60" s="7"/>
      <c r="T60" s="8"/>
    </row>
    <row r="61" spans="2:25">
      <c r="D61" s="7"/>
      <c r="E61" s="7"/>
      <c r="F61" s="7"/>
      <c r="G61" s="7"/>
      <c r="H61" s="146"/>
      <c r="I61" s="149"/>
      <c r="P61" s="7"/>
      <c r="Q61" s="7"/>
      <c r="R61" s="7"/>
      <c r="S61" s="7"/>
      <c r="T61" s="8"/>
    </row>
    <row r="62" spans="2:25">
      <c r="D62" s="7"/>
      <c r="E62" s="7"/>
      <c r="F62" s="7"/>
      <c r="G62" s="7"/>
      <c r="H62" s="146"/>
      <c r="I62" s="149"/>
      <c r="J62" s="151"/>
      <c r="K62" s="7"/>
      <c r="L62" s="7"/>
      <c r="M62" s="7"/>
      <c r="N62" s="7"/>
      <c r="O62" s="7"/>
      <c r="P62" s="7"/>
      <c r="Q62" s="7"/>
      <c r="R62" s="7"/>
      <c r="S62" s="7"/>
      <c r="T62" s="8"/>
    </row>
    <row r="63" spans="2:25" ht="13" thickBot="1">
      <c r="B63" s="152"/>
      <c r="C63" s="153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</row>
    <row r="64" spans="2:25">
      <c r="B64" s="156"/>
    </row>
    <row r="65" spans="1:3">
      <c r="B65" s="156"/>
    </row>
    <row r="77" spans="1:3">
      <c r="A77" s="157">
        <v>40682</v>
      </c>
      <c r="B77" s="158"/>
      <c r="C77" s="145">
        <v>0.5</v>
      </c>
    </row>
    <row r="78" spans="1:3" ht="13.5" customHeight="1">
      <c r="A78" s="158"/>
      <c r="B78" s="158"/>
      <c r="C78" s="145">
        <v>0.5625</v>
      </c>
    </row>
    <row r="79" spans="1:3" ht="13.5" customHeight="1">
      <c r="A79" s="158"/>
      <c r="B79" s="158"/>
      <c r="C79" s="145">
        <v>0.57291666666666663</v>
      </c>
    </row>
    <row r="80" spans="1:3" ht="13.5" customHeight="1">
      <c r="A80" s="158"/>
      <c r="B80" s="158"/>
      <c r="C80" s="145">
        <v>0.58333333333333337</v>
      </c>
    </row>
    <row r="81" spans="1:5" ht="13.5" customHeight="1">
      <c r="A81" s="158"/>
      <c r="B81" s="158"/>
      <c r="C81" s="145">
        <v>0.60416666666666663</v>
      </c>
    </row>
    <row r="82" spans="1:5" ht="13.5" customHeight="1">
      <c r="C82" s="145">
        <v>0.625</v>
      </c>
    </row>
    <row r="83" spans="1:5" ht="13.5" customHeight="1"/>
    <row r="84" spans="1:5" ht="13.5" customHeight="1">
      <c r="A84" s="159">
        <v>40683</v>
      </c>
      <c r="C84" s="145">
        <v>0.32291666666666669</v>
      </c>
    </row>
    <row r="85" spans="1:5" ht="13.5" customHeight="1">
      <c r="C85" s="145">
        <v>0.35416666666666669</v>
      </c>
    </row>
    <row r="86" spans="1:5" ht="13.5" customHeight="1">
      <c r="C86" s="145">
        <v>0.39583333333333331</v>
      </c>
      <c r="D86">
        <v>17</v>
      </c>
    </row>
    <row r="87" spans="1:5" ht="13.5" customHeight="1">
      <c r="C87" s="145">
        <v>0.44791666666666669</v>
      </c>
      <c r="D87">
        <v>28</v>
      </c>
    </row>
    <row r="88" spans="1:5" ht="13.5" customHeight="1">
      <c r="C88" s="145">
        <v>0.54166666666666663</v>
      </c>
      <c r="D88">
        <v>28</v>
      </c>
    </row>
    <row r="89" spans="1:5" ht="13.5" customHeight="1">
      <c r="C89" s="145">
        <v>0.59375</v>
      </c>
    </row>
    <row r="90" spans="1:5" ht="13.5" customHeight="1">
      <c r="C90" s="145">
        <v>0.65972222222222221</v>
      </c>
      <c r="D90">
        <v>23</v>
      </c>
    </row>
    <row r="91" spans="1:5" ht="13.5" customHeight="1"/>
    <row r="92" spans="1:5" ht="13.5" customHeight="1">
      <c r="A92" s="160">
        <v>40687</v>
      </c>
      <c r="C92" s="145">
        <v>0.37222222222222223</v>
      </c>
      <c r="D92">
        <v>17</v>
      </c>
      <c r="E92">
        <v>21.7</v>
      </c>
    </row>
    <row r="93" spans="1:5" ht="13.5" customHeight="1">
      <c r="C93" s="145">
        <v>0.38194444444444442</v>
      </c>
      <c r="D93">
        <v>17</v>
      </c>
      <c r="E93">
        <v>22</v>
      </c>
    </row>
    <row r="94" spans="1:5" ht="13.5" customHeight="1">
      <c r="C94" s="145">
        <v>0.3888888888888889</v>
      </c>
      <c r="D94">
        <v>17.2</v>
      </c>
      <c r="E94">
        <v>23.1</v>
      </c>
    </row>
    <row r="95" spans="1:5" ht="13.5" customHeight="1">
      <c r="C95" s="145">
        <v>0.39583333333333331</v>
      </c>
      <c r="D95">
        <v>18</v>
      </c>
      <c r="E95">
        <v>24.2</v>
      </c>
    </row>
    <row r="96" spans="1:5" ht="13.5" customHeight="1">
      <c r="C96" s="145">
        <v>0.40277777777777773</v>
      </c>
      <c r="D96">
        <v>21</v>
      </c>
      <c r="E96">
        <v>25.1</v>
      </c>
    </row>
    <row r="97" spans="2:5" ht="13.5" customHeight="1">
      <c r="C97" s="145">
        <v>0.45833333333333331</v>
      </c>
      <c r="D97">
        <v>32.5</v>
      </c>
      <c r="E97">
        <v>36.299999999999997</v>
      </c>
    </row>
    <row r="98" spans="2:5" ht="15.75" customHeight="1">
      <c r="C98" s="145">
        <v>0.55347222222222225</v>
      </c>
    </row>
    <row r="99" spans="2:5" ht="14.25" customHeight="1"/>
    <row r="101" spans="2:5">
      <c r="B101" s="40"/>
      <c r="C101" s="161"/>
      <c r="D101" s="162"/>
    </row>
    <row r="102" spans="2:5">
      <c r="B102" s="40"/>
      <c r="C102" s="161"/>
      <c r="D102" s="162"/>
    </row>
    <row r="103" spans="2:5">
      <c r="B103" s="40"/>
      <c r="C103" s="161"/>
      <c r="D103" s="162"/>
    </row>
    <row r="104" spans="2:5">
      <c r="B104" s="40"/>
      <c r="C104" s="161"/>
      <c r="D104" s="162"/>
    </row>
    <row r="105" spans="2:5">
      <c r="B105" s="40"/>
      <c r="C105" s="161"/>
      <c r="D105" s="162"/>
    </row>
    <row r="106" spans="2:5">
      <c r="B106" s="40"/>
      <c r="C106" s="161"/>
      <c r="D106" s="162"/>
    </row>
    <row r="107" spans="2:5">
      <c r="B107" s="40"/>
      <c r="C107" s="161"/>
      <c r="D107" s="162"/>
    </row>
    <row r="108" spans="2:5">
      <c r="B108" s="40"/>
      <c r="C108" s="161"/>
      <c r="D108" s="162"/>
    </row>
    <row r="109" spans="2:5">
      <c r="B109" s="40"/>
      <c r="C109" s="161"/>
      <c r="D109" s="162"/>
    </row>
    <row r="110" spans="2:5">
      <c r="B110" s="40"/>
      <c r="C110" s="161"/>
      <c r="D110" s="162"/>
    </row>
    <row r="111" spans="2:5">
      <c r="B111" s="40"/>
      <c r="C111" s="161"/>
      <c r="D111" s="162"/>
    </row>
    <row r="112" spans="2:5">
      <c r="B112" s="40"/>
      <c r="C112" s="161"/>
      <c r="D112" s="162"/>
    </row>
    <row r="113" spans="2:4">
      <c r="B113" s="40"/>
      <c r="C113" s="161"/>
      <c r="D113" s="162"/>
    </row>
    <row r="114" spans="2:4">
      <c r="B114" s="40"/>
      <c r="C114" s="161"/>
      <c r="D114" s="162"/>
    </row>
    <row r="115" spans="2:4">
      <c r="B115" s="40"/>
      <c r="C115" s="161"/>
      <c r="D115" s="162"/>
    </row>
    <row r="116" spans="2:4">
      <c r="B116" s="40"/>
      <c r="C116" s="161"/>
      <c r="D116" s="162"/>
    </row>
    <row r="117" spans="2:4">
      <c r="B117" s="40"/>
      <c r="C117" s="161"/>
      <c r="D117" s="162"/>
    </row>
    <row r="118" spans="2:4">
      <c r="B118" s="40"/>
      <c r="C118" s="161"/>
      <c r="D118" s="162"/>
    </row>
    <row r="119" spans="2:4">
      <c r="B119" s="40"/>
      <c r="C119" s="161"/>
      <c r="D119" s="162"/>
    </row>
    <row r="120" spans="2:4">
      <c r="B120" s="40"/>
      <c r="C120" s="161"/>
      <c r="D120" s="162"/>
    </row>
    <row r="121" spans="2:4">
      <c r="B121" s="40"/>
      <c r="C121" s="161"/>
      <c r="D121" s="162"/>
    </row>
    <row r="122" spans="2:4">
      <c r="B122" s="40"/>
      <c r="C122" s="161"/>
      <c r="D122" s="162"/>
    </row>
    <row r="123" spans="2:4">
      <c r="B123" s="222" t="s">
        <v>54</v>
      </c>
      <c r="C123" s="223"/>
      <c r="D123" s="224"/>
    </row>
    <row r="124" spans="2:4" ht="24">
      <c r="B124" s="163" t="s">
        <v>55</v>
      </c>
      <c r="C124" s="164" t="s">
        <v>56</v>
      </c>
      <c r="D124" s="165" t="s">
        <v>57</v>
      </c>
    </row>
    <row r="125" spans="2:4" s="169" customFormat="1" ht="39.75" customHeight="1">
      <c r="B125" s="166" t="s">
        <v>58</v>
      </c>
      <c r="C125" s="167">
        <v>3.7600000000000001E-2</v>
      </c>
      <c r="D125" s="168" t="e">
        <f>#REF!*0.0376</f>
        <v>#REF!</v>
      </c>
    </row>
    <row r="126" spans="2:4">
      <c r="B126" s="166" t="s">
        <v>59</v>
      </c>
      <c r="C126" s="170">
        <v>0.06</v>
      </c>
      <c r="D126" s="168" t="e">
        <f>#REF!*C126</f>
        <v>#REF!</v>
      </c>
    </row>
    <row r="127" spans="2:4">
      <c r="B127" s="166" t="s">
        <v>60</v>
      </c>
      <c r="C127" s="170"/>
      <c r="D127" s="168" t="e">
        <f>#REF!*#REF!</f>
        <v>#REF!</v>
      </c>
    </row>
    <row r="128" spans="2:4">
      <c r="B128" s="166" t="s">
        <v>61</v>
      </c>
      <c r="C128" s="170">
        <v>0.24</v>
      </c>
      <c r="D128" s="168" t="e">
        <f>#REF!*C128</f>
        <v>#REF!</v>
      </c>
    </row>
    <row r="129" spans="2:5">
      <c r="B129" s="166" t="s">
        <v>62</v>
      </c>
      <c r="C129" s="170">
        <v>0.1</v>
      </c>
      <c r="D129" s="168" t="e">
        <f>#REF!*C129</f>
        <v>#REF!</v>
      </c>
    </row>
    <row r="130" spans="2:5">
      <c r="B130" s="166" t="s">
        <v>63</v>
      </c>
      <c r="C130" s="171">
        <f>0.1*3.14*0.3</f>
        <v>9.420000000000002E-2</v>
      </c>
      <c r="D130" s="172" t="e">
        <f>#REF!*#REF!*C130</f>
        <v>#REF!</v>
      </c>
    </row>
    <row r="131" spans="2:5">
      <c r="B131" s="166" t="s">
        <v>64</v>
      </c>
      <c r="C131" s="171">
        <f>0.7*0.025</f>
        <v>1.7499999999999998E-2</v>
      </c>
      <c r="D131" s="172" t="e">
        <f>#REF!*#REF!*C131</f>
        <v>#REF!</v>
      </c>
    </row>
    <row r="132" spans="2:5">
      <c r="B132" s="166" t="s">
        <v>65</v>
      </c>
      <c r="C132" s="171">
        <f>4/11</f>
        <v>0.36363636363636365</v>
      </c>
      <c r="D132" s="172" t="e">
        <f>#REF!*#REF!*C132</f>
        <v>#REF!</v>
      </c>
    </row>
    <row r="133" spans="2:5">
      <c r="B133" s="166" t="s">
        <v>66</v>
      </c>
      <c r="C133" s="170">
        <v>3</v>
      </c>
      <c r="D133" s="168" t="e">
        <f>#REF!*#REF!*C133</f>
        <v>#REF!</v>
      </c>
    </row>
    <row r="134" spans="2:5">
      <c r="B134" s="166" t="s">
        <v>67</v>
      </c>
      <c r="C134" s="171">
        <v>0.6</v>
      </c>
      <c r="D134" s="172" t="e">
        <f>#REF!*#REF!*C134</f>
        <v>#REF!</v>
      </c>
    </row>
    <row r="135" spans="2:5">
      <c r="B135" s="173" t="s">
        <v>68</v>
      </c>
      <c r="C135" s="170">
        <v>0.28000000000000003</v>
      </c>
      <c r="D135" s="168" t="e">
        <f>#REF!*C135</f>
        <v>#REF!</v>
      </c>
    </row>
    <row r="136" spans="2:5">
      <c r="B136" s="173" t="s">
        <v>69</v>
      </c>
      <c r="C136" s="174">
        <f>0.205*0.205</f>
        <v>4.2024999999999993E-2</v>
      </c>
      <c r="D136" s="168" t="e">
        <f>#REF!*#REF!*C136</f>
        <v>#REF!</v>
      </c>
    </row>
    <row r="137" spans="2:5">
      <c r="B137" s="173" t="s">
        <v>70</v>
      </c>
      <c r="C137" s="170">
        <f>0.3*0.3</f>
        <v>0.09</v>
      </c>
      <c r="D137" s="168" t="e">
        <f>#REF!*#REF!*C137</f>
        <v>#REF!</v>
      </c>
    </row>
    <row r="138" spans="2:5">
      <c r="B138" s="175" t="s">
        <v>71</v>
      </c>
      <c r="C138" s="171">
        <f>0.28*0.28</f>
        <v>7.8400000000000011E-2</v>
      </c>
      <c r="D138" s="172" t="e">
        <f>#REF!*#REF!*C138</f>
        <v>#REF!</v>
      </c>
    </row>
    <row r="139" spans="2:5">
      <c r="B139" s="175" t="s">
        <v>72</v>
      </c>
      <c r="C139" s="171">
        <f>0.24*0.24</f>
        <v>5.7599999999999998E-2</v>
      </c>
      <c r="D139" s="172" t="e">
        <f>#REF!*#REF!*C139</f>
        <v>#REF!</v>
      </c>
    </row>
    <row r="140" spans="2:5">
      <c r="B140" s="175" t="s">
        <v>73</v>
      </c>
      <c r="C140" s="171">
        <f>0.24*0.24</f>
        <v>5.7599999999999998E-2</v>
      </c>
      <c r="D140" s="172" t="e">
        <f>#REF!*#REF!*C140</f>
        <v>#REF!</v>
      </c>
    </row>
    <row r="141" spans="2:5">
      <c r="B141" s="175" t="s">
        <v>74</v>
      </c>
      <c r="C141" s="171">
        <v>0.5</v>
      </c>
      <c r="D141" s="172" t="e">
        <f>#REF!*#REF!*C141</f>
        <v>#REF!</v>
      </c>
    </row>
    <row r="142" spans="2:5">
      <c r="B142" s="175" t="s">
        <v>75</v>
      </c>
      <c r="C142" s="171"/>
      <c r="D142" s="172" t="e">
        <f>#REF!*#REF!</f>
        <v>#REF!</v>
      </c>
    </row>
    <row r="144" spans="2:5" ht="13" thickBot="1">
      <c r="D144" s="176" t="e">
        <f>SUM(D125:D142)</f>
        <v>#REF!</v>
      </c>
      <c r="E144" s="177"/>
    </row>
    <row r="145" spans="2:7" ht="13" thickTop="1">
      <c r="D145" s="178"/>
      <c r="E145" s="177"/>
    </row>
    <row r="146" spans="2:7">
      <c r="D146" s="178"/>
      <c r="E146" s="177"/>
    </row>
    <row r="147" spans="2:7" ht="13" thickBot="1">
      <c r="D147" s="179"/>
      <c r="E147" s="180"/>
      <c r="F147" s="180"/>
      <c r="G147" s="180"/>
    </row>
    <row r="148" spans="2:7" ht="13" thickBot="1">
      <c r="B148" s="181" t="s">
        <v>76</v>
      </c>
      <c r="C148" s="182"/>
      <c r="D148" s="183" t="s">
        <v>77</v>
      </c>
      <c r="E148" s="184" t="s">
        <v>78</v>
      </c>
      <c r="F148" s="185"/>
      <c r="G148" s="185"/>
    </row>
    <row r="149" spans="2:7">
      <c r="B149" s="186" t="s">
        <v>79</v>
      </c>
      <c r="C149" s="187"/>
      <c r="D149" s="188">
        <v>12.68</v>
      </c>
      <c r="E149" s="189"/>
      <c r="F149" s="7"/>
      <c r="G149" s="7"/>
    </row>
    <row r="150" spans="2:7">
      <c r="B150" s="190" t="s">
        <v>80</v>
      </c>
      <c r="C150" s="191"/>
      <c r="D150" s="192"/>
      <c r="E150" s="193"/>
      <c r="F150" s="7"/>
      <c r="G150" s="7"/>
    </row>
    <row r="151" spans="2:7">
      <c r="B151" s="194" t="s">
        <v>81</v>
      </c>
      <c r="C151" s="195"/>
      <c r="D151" s="196">
        <v>572</v>
      </c>
      <c r="E151" s="197">
        <f>D151/2</f>
        <v>286</v>
      </c>
      <c r="F151" s="7"/>
      <c r="G151" s="7"/>
    </row>
    <row r="152" spans="2:7">
      <c r="B152" s="194" t="s">
        <v>82</v>
      </c>
      <c r="C152" s="195"/>
      <c r="D152" s="198">
        <f>325.93+55</f>
        <v>380.93</v>
      </c>
      <c r="E152" s="197">
        <f>D152/2</f>
        <v>190.465</v>
      </c>
      <c r="F152" s="7"/>
      <c r="G152" s="7"/>
    </row>
    <row r="153" spans="2:7">
      <c r="B153" s="194" t="s">
        <v>83</v>
      </c>
      <c r="C153" s="195"/>
      <c r="D153" s="198">
        <v>56.37</v>
      </c>
      <c r="E153" s="197">
        <f>D153/(1.2*2.4)</f>
        <v>19.572916666666668</v>
      </c>
      <c r="F153" s="7"/>
      <c r="G153" s="7"/>
    </row>
    <row r="154" spans="2:7">
      <c r="B154" s="194" t="s">
        <v>84</v>
      </c>
      <c r="C154" s="195"/>
      <c r="D154" s="198">
        <v>7.84</v>
      </c>
      <c r="E154" s="197">
        <f>D154/9</f>
        <v>0.87111111111111106</v>
      </c>
      <c r="F154" s="7"/>
      <c r="G154" s="7"/>
    </row>
    <row r="155" spans="2:7">
      <c r="B155" s="194" t="s">
        <v>85</v>
      </c>
      <c r="C155" s="195"/>
      <c r="D155" s="196">
        <v>68.819999999999993</v>
      </c>
      <c r="E155" s="197">
        <f>D155/15</f>
        <v>4.5879999999999992</v>
      </c>
      <c r="F155" s="7"/>
      <c r="G155" s="7"/>
    </row>
    <row r="156" spans="2:7">
      <c r="B156" s="194" t="s">
        <v>86</v>
      </c>
      <c r="C156" s="195"/>
      <c r="D156" s="196">
        <v>38.450000000000003</v>
      </c>
      <c r="E156" s="197">
        <f>D156/15</f>
        <v>2.5633333333333335</v>
      </c>
      <c r="F156" s="7"/>
      <c r="G156" s="7"/>
    </row>
    <row r="157" spans="2:7">
      <c r="B157" s="194" t="s">
        <v>87</v>
      </c>
      <c r="C157" s="195"/>
      <c r="D157" s="58"/>
      <c r="E157" s="199">
        <v>2.1800000000000002</v>
      </c>
      <c r="F157" s="7"/>
      <c r="G157" s="7"/>
    </row>
    <row r="158" spans="2:7">
      <c r="B158" s="200" t="s">
        <v>88</v>
      </c>
      <c r="C158" s="195"/>
      <c r="D158" s="58"/>
      <c r="E158" s="201">
        <v>22</v>
      </c>
      <c r="F158" s="7"/>
      <c r="G158" s="7"/>
    </row>
    <row r="159" spans="2:7">
      <c r="B159" s="200" t="s">
        <v>89</v>
      </c>
      <c r="C159" s="195"/>
      <c r="D159" s="58"/>
      <c r="E159" s="201">
        <v>22</v>
      </c>
      <c r="F159" s="7"/>
      <c r="G159" s="7"/>
    </row>
    <row r="160" spans="2:7">
      <c r="B160" s="200" t="s">
        <v>90</v>
      </c>
      <c r="C160" s="195"/>
      <c r="D160" s="58"/>
      <c r="E160" s="199">
        <v>39.950000000000003</v>
      </c>
      <c r="F160" s="7"/>
      <c r="G160" s="7"/>
    </row>
    <row r="161" spans="2:7">
      <c r="B161" s="202" t="s">
        <v>71</v>
      </c>
      <c r="C161" s="195"/>
      <c r="D161" s="58"/>
      <c r="E161" s="201">
        <v>12</v>
      </c>
      <c r="F161" s="7"/>
      <c r="G161" s="7"/>
    </row>
    <row r="162" spans="2:7">
      <c r="B162" s="202" t="s">
        <v>91</v>
      </c>
      <c r="C162" s="195"/>
      <c r="D162" s="58">
        <v>4.99</v>
      </c>
      <c r="E162" s="201">
        <f>D162/(1.2*2.4)</f>
        <v>1.7326388888888891</v>
      </c>
      <c r="F162" s="7"/>
      <c r="G162" s="7"/>
    </row>
    <row r="163" spans="2:7">
      <c r="B163" s="202" t="s">
        <v>92</v>
      </c>
      <c r="C163" s="195"/>
      <c r="D163" s="58"/>
      <c r="E163" s="201">
        <v>16</v>
      </c>
      <c r="F163" s="7"/>
      <c r="G163" s="7"/>
    </row>
    <row r="164" spans="2:7">
      <c r="B164" s="202" t="s">
        <v>93</v>
      </c>
      <c r="C164" s="195"/>
      <c r="D164" s="58">
        <v>5.56</v>
      </c>
      <c r="E164" s="199">
        <f>D164/4</f>
        <v>1.39</v>
      </c>
      <c r="F164" s="7"/>
      <c r="G164" s="7"/>
    </row>
    <row r="165" spans="2:7">
      <c r="B165" s="203" t="s">
        <v>94</v>
      </c>
      <c r="C165" s="204"/>
      <c r="D165" s="205">
        <v>2.4</v>
      </c>
      <c r="E165" s="206">
        <v>2.4</v>
      </c>
      <c r="F165" s="7"/>
      <c r="G165" s="7"/>
    </row>
    <row r="166" spans="2:7">
      <c r="B166" s="207" t="s">
        <v>95</v>
      </c>
      <c r="C166" s="204"/>
      <c r="D166" s="205">
        <f>36.25/3</f>
        <v>12.083333333333334</v>
      </c>
      <c r="E166" s="206">
        <f>D166*2</f>
        <v>24.166666666666668</v>
      </c>
      <c r="F166" s="7"/>
      <c r="G166" s="7"/>
    </row>
    <row r="167" spans="2:7" ht="13" thickBot="1">
      <c r="B167" s="208" t="s">
        <v>96</v>
      </c>
      <c r="C167" s="209"/>
      <c r="D167" s="210"/>
      <c r="E167" s="211">
        <v>30</v>
      </c>
      <c r="F167" s="7"/>
      <c r="G167" s="7"/>
    </row>
    <row r="168" spans="2:7">
      <c r="B168" s="212"/>
      <c r="C168" s="34"/>
      <c r="D168" s="7"/>
      <c r="E168" s="177"/>
    </row>
  </sheetData>
  <mergeCells count="4">
    <mergeCell ref="D3:O3"/>
    <mergeCell ref="Q24:T24"/>
    <mergeCell ref="B26:B42"/>
    <mergeCell ref="B123:D123"/>
  </mergeCells>
  <conditionalFormatting sqref="M26">
    <cfRule type="colorScale" priority="18">
      <colorScale>
        <cfvo type="min"/>
        <cfvo type="max"/>
        <color rgb="FFFFFF00"/>
        <color rgb="FF40FE60"/>
      </colorScale>
    </cfRule>
    <cfRule type="colorScale" priority="19">
      <colorScale>
        <cfvo type="min"/>
        <cfvo type="max"/>
        <color rgb="FFFFFF00"/>
        <color rgb="FF3AF85E"/>
      </colorScale>
    </cfRule>
  </conditionalFormatting>
  <conditionalFormatting sqref="M27:M28">
    <cfRule type="colorScale" priority="17">
      <colorScale>
        <cfvo type="min"/>
        <cfvo type="max"/>
        <color rgb="FFFFFF00"/>
        <color rgb="FF40FE60"/>
      </colorScale>
    </cfRule>
  </conditionalFormatting>
  <conditionalFormatting sqref="M29">
    <cfRule type="colorScale" priority="16">
      <colorScale>
        <cfvo type="min"/>
        <cfvo type="max"/>
        <color rgb="FFFFFF00"/>
        <color rgb="FF40FE60"/>
      </colorScale>
    </cfRule>
  </conditionalFormatting>
  <conditionalFormatting sqref="M31">
    <cfRule type="colorScale" priority="3">
      <colorScale>
        <cfvo type="min"/>
        <cfvo type="max"/>
        <color rgb="FFFFFF00"/>
        <color rgb="FF40FE60"/>
      </colorScale>
    </cfRule>
    <cfRule type="colorScale" priority="15">
      <colorScale>
        <cfvo type="min"/>
        <cfvo type="max"/>
        <color rgb="FFFFFF00"/>
        <color rgb="FF40FE60"/>
      </colorScale>
    </cfRule>
  </conditionalFormatting>
  <conditionalFormatting sqref="M32">
    <cfRule type="colorScale" priority="14">
      <colorScale>
        <cfvo type="min"/>
        <cfvo type="max"/>
        <color rgb="FFFFFF00"/>
        <color rgb="FF40FE60"/>
      </colorScale>
    </cfRule>
  </conditionalFormatting>
  <conditionalFormatting sqref="M33">
    <cfRule type="colorScale" priority="13">
      <colorScale>
        <cfvo type="min"/>
        <cfvo type="max"/>
        <color rgb="FFFFFF00"/>
        <color rgb="FF40FE60"/>
      </colorScale>
    </cfRule>
  </conditionalFormatting>
  <conditionalFormatting sqref="M34">
    <cfRule type="colorScale" priority="12">
      <colorScale>
        <cfvo type="min"/>
        <cfvo type="max"/>
        <color rgb="FFFFFF00"/>
        <color rgb="FF40FE60"/>
      </colorScale>
    </cfRule>
  </conditionalFormatting>
  <conditionalFormatting sqref="M35:M36">
    <cfRule type="colorScale" priority="11">
      <colorScale>
        <cfvo type="min"/>
        <cfvo type="max"/>
        <color rgb="FFFFFF00"/>
        <color rgb="FF40FE60"/>
      </colorScale>
    </cfRule>
  </conditionalFormatting>
  <conditionalFormatting sqref="M37:M38">
    <cfRule type="colorScale" priority="10">
      <colorScale>
        <cfvo type="min"/>
        <cfvo type="max"/>
        <color rgb="FFFFFF00"/>
        <color rgb="FF40FE60"/>
      </colorScale>
    </cfRule>
  </conditionalFormatting>
  <conditionalFormatting sqref="M28">
    <cfRule type="colorScale" priority="9">
      <colorScale>
        <cfvo type="min"/>
        <cfvo type="max"/>
        <color rgb="FFFFFF00"/>
        <color rgb="FF40FE60"/>
      </colorScale>
    </cfRule>
  </conditionalFormatting>
  <conditionalFormatting sqref="M42:M45">
    <cfRule type="colorScale" priority="8">
      <colorScale>
        <cfvo type="min"/>
        <cfvo type="max"/>
        <color rgb="FFFFFF00"/>
        <color rgb="FF40FE60"/>
      </colorScale>
    </cfRule>
  </conditionalFormatting>
  <conditionalFormatting sqref="M50">
    <cfRule type="colorScale" priority="7">
      <colorScale>
        <cfvo type="min"/>
        <cfvo type="max"/>
        <color rgb="FFFFFF00"/>
        <color rgb="FFFFEF9C"/>
      </colorScale>
    </cfRule>
  </conditionalFormatting>
  <conditionalFormatting sqref="M51">
    <cfRule type="colorScale" priority="6">
      <colorScale>
        <cfvo type="min"/>
        <cfvo type="max"/>
        <color rgb="FFFFFF00"/>
        <color rgb="FF40FE60"/>
      </colorScale>
    </cfRule>
  </conditionalFormatting>
  <conditionalFormatting sqref="M52">
    <cfRule type="colorScale" priority="5">
      <colorScale>
        <cfvo type="min"/>
        <cfvo type="max"/>
        <color rgb="FFFFFF00"/>
        <color rgb="FFFFEF9C"/>
      </colorScale>
    </cfRule>
  </conditionalFormatting>
  <conditionalFormatting sqref="M53">
    <cfRule type="colorScale" priority="4">
      <colorScale>
        <cfvo type="min"/>
        <cfvo type="max"/>
        <color rgb="FFFFFF00"/>
        <color rgb="FF40FE60"/>
      </colorScale>
    </cfRule>
  </conditionalFormatting>
  <conditionalFormatting sqref="M55:M56">
    <cfRule type="colorScale" priority="2">
      <colorScale>
        <cfvo type="min"/>
        <cfvo type="max"/>
        <color rgb="FFFFFF00"/>
        <color rgb="FF40FE60"/>
      </colorScale>
    </cfRule>
  </conditionalFormatting>
  <conditionalFormatting sqref="D26:L26 N26">
    <cfRule type="colorScale" priority="20">
      <colorScale>
        <cfvo type="min"/>
        <cfvo type="max"/>
        <color rgb="FFFFFF00"/>
        <color rgb="FF40FE60"/>
      </colorScale>
    </cfRule>
    <cfRule type="colorScale" priority="21">
      <colorScale>
        <cfvo type="min"/>
        <cfvo type="max"/>
        <color rgb="FFFFFF00"/>
        <color rgb="FF3AF85E"/>
      </colorScale>
    </cfRule>
  </conditionalFormatting>
  <conditionalFormatting sqref="N27:N28 O28 D27:L28">
    <cfRule type="colorScale" priority="22">
      <colorScale>
        <cfvo type="min"/>
        <cfvo type="max"/>
        <color rgb="FFFFFF00"/>
        <color rgb="FF40FE60"/>
      </colorScale>
    </cfRule>
  </conditionalFormatting>
  <conditionalFormatting sqref="D29:L29 N29">
    <cfRule type="colorScale" priority="23">
      <colorScale>
        <cfvo type="min"/>
        <cfvo type="max"/>
        <color rgb="FFFFFF00"/>
        <color rgb="FF40FE60"/>
      </colorScale>
    </cfRule>
  </conditionalFormatting>
  <conditionalFormatting sqref="D31:L31 N31">
    <cfRule type="colorScale" priority="24">
      <colorScale>
        <cfvo type="min"/>
        <cfvo type="max"/>
        <color rgb="FFFFFF00"/>
        <color rgb="FF40FE60"/>
      </colorScale>
    </cfRule>
    <cfRule type="colorScale" priority="25">
      <colorScale>
        <cfvo type="min"/>
        <cfvo type="max"/>
        <color rgb="FFFFFF00"/>
        <color rgb="FF40FE60"/>
      </colorScale>
    </cfRule>
  </conditionalFormatting>
  <conditionalFormatting sqref="D32:L32 N32">
    <cfRule type="colorScale" priority="26">
      <colorScale>
        <cfvo type="min"/>
        <cfvo type="max"/>
        <color rgb="FFFFFF00"/>
        <color rgb="FF40FE60"/>
      </colorScale>
    </cfRule>
  </conditionalFormatting>
  <conditionalFormatting sqref="D33:L33 N33">
    <cfRule type="colorScale" priority="27">
      <colorScale>
        <cfvo type="min"/>
        <cfvo type="max"/>
        <color rgb="FFFFFF00"/>
        <color rgb="FF40FE60"/>
      </colorScale>
    </cfRule>
  </conditionalFormatting>
  <conditionalFormatting sqref="D34:L34 N34">
    <cfRule type="colorScale" priority="28">
      <colorScale>
        <cfvo type="min"/>
        <cfvo type="max"/>
        <color rgb="FFFFFF00"/>
        <color rgb="FF40FE60"/>
      </colorScale>
    </cfRule>
  </conditionalFormatting>
  <conditionalFormatting sqref="D35:L36 N35:N36">
    <cfRule type="colorScale" priority="29">
      <colorScale>
        <cfvo type="min"/>
        <cfvo type="max"/>
        <color rgb="FFFFFF00"/>
        <color rgb="FF40FE60"/>
      </colorScale>
    </cfRule>
  </conditionalFormatting>
  <conditionalFormatting sqref="D37:L38 N37:N38">
    <cfRule type="colorScale" priority="30">
      <colorScale>
        <cfvo type="min"/>
        <cfvo type="max"/>
        <color rgb="FFFFFF00"/>
        <color rgb="FF40FE60"/>
      </colorScale>
    </cfRule>
  </conditionalFormatting>
  <conditionalFormatting sqref="D39:N39">
    <cfRule type="colorScale" priority="31">
      <colorScale>
        <cfvo type="min"/>
        <cfvo type="max"/>
        <color rgb="FFFFFF00"/>
        <color rgb="FF40FE60"/>
      </colorScale>
    </cfRule>
  </conditionalFormatting>
  <conditionalFormatting sqref="N28:O28 D28:L28">
    <cfRule type="colorScale" priority="32">
      <colorScale>
        <cfvo type="min"/>
        <cfvo type="max"/>
        <color rgb="FFFFFF00"/>
        <color rgb="FF40FE60"/>
      </colorScale>
    </cfRule>
  </conditionalFormatting>
  <conditionalFormatting sqref="N42:N45 D42:L45">
    <cfRule type="colorScale" priority="33">
      <colorScale>
        <cfvo type="min"/>
        <cfvo type="max"/>
        <color rgb="FFFFFF00"/>
        <color rgb="FF40FE60"/>
      </colorScale>
    </cfRule>
  </conditionalFormatting>
  <conditionalFormatting sqref="D50:L50 N50">
    <cfRule type="colorScale" priority="34">
      <colorScale>
        <cfvo type="min"/>
        <cfvo type="max"/>
        <color rgb="FFFFFF00"/>
        <color rgb="FFFFEF9C"/>
      </colorScale>
    </cfRule>
  </conditionalFormatting>
  <conditionalFormatting sqref="D51:L51 N51">
    <cfRule type="colorScale" priority="35">
      <colorScale>
        <cfvo type="min"/>
        <cfvo type="max"/>
        <color rgb="FFFFFF00"/>
        <color rgb="FF40FE60"/>
      </colorScale>
    </cfRule>
  </conditionalFormatting>
  <conditionalFormatting sqref="D52:L52 N52">
    <cfRule type="colorScale" priority="36">
      <colorScale>
        <cfvo type="min"/>
        <cfvo type="max"/>
        <color rgb="FFFFFF00"/>
        <color rgb="FFFFEF9C"/>
      </colorScale>
    </cfRule>
  </conditionalFormatting>
  <conditionalFormatting sqref="D53:L53 N53">
    <cfRule type="colorScale" priority="37">
      <colorScale>
        <cfvo type="min"/>
        <cfvo type="max"/>
        <color rgb="FFFFFF00"/>
        <color rgb="FF40FE60"/>
      </colorScale>
    </cfRule>
  </conditionalFormatting>
  <conditionalFormatting sqref="N55:N56 D55:L56">
    <cfRule type="colorScale" priority="38">
      <colorScale>
        <cfvo type="min"/>
        <cfvo type="max"/>
        <color rgb="FFFFFF00"/>
        <color rgb="FF40FE60"/>
      </colorScale>
    </cfRule>
  </conditionalFormatting>
  <conditionalFormatting sqref="F45:L4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:N56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1496062992125984" right="0.31496062992125984" top="0.39370078740157483" bottom="0.3543307086614173" header="0.31496062992125984" footer="0.31496062992125984"/>
  <pageSetup paperSize="8" scale="35" orientation="landscape" copies="1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Y13 SWH 2013 3-9-13</vt:lpstr>
    </vt:vector>
  </TitlesOfParts>
  <Company>Trident High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Dobbin</dc:creator>
  <cp:lastModifiedBy>Christina Smith</cp:lastModifiedBy>
  <dcterms:created xsi:type="dcterms:W3CDTF">2013-10-15T08:24:24Z</dcterms:created>
  <dcterms:modified xsi:type="dcterms:W3CDTF">2014-04-16T02:05:02Z</dcterms:modified>
</cp:coreProperties>
</file>